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U4VUh18Db+ZrwMInr72hEFU1W8PpNG/PGgtXG34JIFW02sYRFhkLOKCMF5TKM8XkwQHxqdtsC3gums/oY1pIuQ==" workbookSaltValue="0E8LSn8ClLq1jx3Jnz8U8w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K223" i="83" s="1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F53" i="83" l="1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78" i="83" l="1"/>
  <c r="AA78" i="83" s="1"/>
  <c r="U194" i="83"/>
  <c r="Q78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G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G214" i="83" l="1"/>
  <c r="AK214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P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G334" i="83" l="1"/>
  <c r="AO245" i="83"/>
  <c r="AQ245" i="83"/>
  <c r="AI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Q222" i="83" l="1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<sst xmlns="http://schemas.openxmlformats.org/spreadsheetml/2006/main" count="65857" uniqueCount="757">
  <si>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</si>
  <si>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</si>
  <si>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</si>
  <si>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</si>
  <si>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</si>
  <si>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</si>
  <si>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</si>
  <si>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</si>
  <si>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</si>
  <si>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</si>
  <si>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</si>
  <si>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</si>
  <si>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</si>
  <si>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</si>
  <si>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</si>
  <si>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</si>
  <si>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</si>
  <si>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</si>
  <si>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</si>
  <si>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</si>
  <si>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</si>
  <si>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</si>
  <si>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</si>
  <si>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</si>
  <si>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</si>
  <si>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</si>
  <si>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</si>
  <si>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</si>
  <si>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</si>
  <si>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</si>
  <si>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</si>
  <si>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</si>
  <si>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</si>
  <si>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</si>
  <si>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</si>
  <si>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</si>
  <si>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</si>
  <si>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</si>
  <si>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</si>
  <si>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</si>
  <si>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</si>
  <si>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</si>
  <si>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</si>
  <si>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</si>
  <si>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</si>
  <si>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</si>
  <si>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</si>
  <si>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</si>
  <si>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</si>
  <si>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</si>
  <si>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</si>
  <si>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</si>
  <si>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</si>
  <si>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</si>
  <si>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</si>
  <si>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</si>
  <si>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</si>
  <si>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</si>
  <si>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</si>
  <si>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</si>
  <si>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</si>
  <si>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</si>
  <si>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</si>
  <si>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</si>
  <si>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</si>
  <si>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</si>
  <si>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</si>
  <si>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</si>
  <si>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</si>
  <si>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</si>
  <si>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</si>
  <si>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</si>
  <si>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</si>
  <si>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</si>
  <si>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</si>
  <si>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</si>
  <si>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</si>
  <si>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</si>
  <si>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</si>
  <si>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</si>
  <si>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</si>
  <si>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</si>
  <si>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</si>
  <si>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</si>
  <si>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</si>
  <si>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</si>
  <si>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</si>
  <si>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</si>
  <si>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</si>
  <si>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</si>
  <si>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</si>
  <si>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</si>
  <si>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</si>
  <si>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</si>
  <si>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</si>
  <si>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</si>
  <si>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</si>
  <si>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</si>
  <si>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</si>
  <si>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</si>
  <si>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</si>
  <si>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</si>
  <si>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</si>
  <si>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</si>
  <si>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</si>
  <si>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</si>
  <si>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</si>
  <si>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</si>
  <si>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</si>
  <si>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</si>
  <si>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</si>
  <si>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</si>
  <si>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</si>
  <si>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</si>
  <si>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</si>
  <si>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</si>
  <si>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</si>
  <si>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</si>
  <si>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</si>
  <si>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</si>
  <si>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</si>
  <si>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</si>
  <si>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</si>
  <si>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</si>
  <si>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</si>
  <si>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</si>
  <si>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</si>
  <si>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</si>
  <si>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</si>
  <si>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</si>
  <si>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</si>
  <si>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</si>
  <si>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</si>
  <si>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</si>
  <si>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</si>
  <si>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</si>
  <si>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</si>
  <si>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</si>
  <si>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</si>
  <si>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</si>
  <si>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</si>
  <si>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</si>
  <si>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</si>
  <si>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</si>
  <si>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</si>
  <si>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</si>
  <si>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</si>
  <si>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</si>
  <si>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</si>
  <si>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</si>
  <si>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</si>
  <si>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</si>
  <si>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</si>
  <si>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</si>
  <si>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</si>
  <si>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</si>
  <si>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</si>
  <si>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</si>
  <si>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</si>
  <si>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</si>
  <si>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</si>
  <si>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</si>
  <si>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</si>
  <si>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</si>
  <si>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</si>
  <si>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</si>
  <si>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</si>
  <si>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</si>
  <si>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</si>
  <si>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</si>
  <si>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</si>
  <si>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</si>
  <si>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</si>
  <si>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</si>
  <si>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</si>
  <si>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</si>
  <si>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</si>
  <si>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</si>
  <si>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</si>
  <si>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</si>
  <si>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</si>
  <si>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</si>
  <si>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</si>
  <si>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</si>
  <si>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</si>
  <si>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</si>
  <si>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</si>
  <si>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</si>
  <si>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</si>
  <si>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</si>
  <si>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</si>
  <si>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</si>
  <si>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</si>
  <si>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</si>
  <si>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</si>
  <si>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</si>
  <si>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</si>
  <si>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</si>
  <si>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</si>
  <si>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</si>
  <si>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</si>
  <si>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</si>
  <si>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</si>
  <si>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</si>
  <si>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</si>
  <si>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</si>
  <si>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</si>
  <si>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</si>
  <si>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</si>
  <si>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</si>
  <si>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</si>
  <si>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</si>
  <si>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</si>
  <si>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</si>
  <si>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</si>
  <si>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</si>
  <si>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</si>
  <si>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</si>
  <si>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</si>
  <si>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</si>
  <si>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</si>
  <si>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</si>
  <si>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</si>
  <si>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</si>
  <si>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</si>
  <si>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</si>
  <si>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</si>
  <si>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</si>
  <si>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</si>
  <si>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</si>
  <si>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</si>
  <si>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</si>
  <si>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</si>
  <si>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</si>
  <si>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</si>
  <si>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</si>
  <si>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</si>
  <si>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</si>
  <si>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</si>
  <si>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</si>
  <si>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</si>
  <si>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</si>
  <si>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</si>
  <si>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</si>
  <si>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</si>
  <si>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</si>
  <si>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</si>
  <si>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</si>
  <si>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</si>
  <si>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</si>
  <si>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</si>
  <si>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</si>
  <si>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</si>
  <si>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</si>
  <si>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</si>
  <si>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</si>
  <si>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</si>
  <si>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</si>
  <si>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</si>
  <si>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</si>
  <si>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</si>
  <si>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</si>
  <si>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</si>
  <si>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</si>
  <si>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</si>
  <si>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</si>
  <si>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</si>
  <si>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</si>
  <si>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</si>
  <si>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</si>
  <si>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</si>
  <si>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</si>
  <si>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</si>
  <si>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</si>
  <si>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</si>
  <si>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</si>
  <si>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</si>
  <si>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</si>
  <si>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</si>
  <si>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</si>
  <si>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</si>
  <si>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</si>
  <si>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</si>
  <si>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</si>
  <si>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</si>
  <si>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</si>
  <si>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</si>
  <si>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</si>
  <si>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</si>
  <si>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</si>
  <si>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</si>
  <si>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</si>
  <si>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</si>
  <si>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</si>
  <si>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</si>
  <si>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</si>
  <si>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</si>
  <si>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</si>
  <si>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</si>
  <si>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</si>
  <si>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</si>
  <si>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</si>
  <si>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</si>
  <si>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</si>
  <si>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</si>
  <si>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</si>
  <si>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</si>
  <si>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</si>
  <si>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</si>
  <si>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</si>
  <si>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</si>
  <si>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</si>
  <si>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</si>
  <si>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</si>
  <si>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</si>
  <si>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</si>
  <si>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</si>
  <si>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</si>
  <si>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</si>
  <si>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</si>
  <si>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</si>
  <si>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</si>
  <si>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</si>
  <si>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</si>
  <si>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</si>
  <si>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</si>
  <si>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</si>
  <si>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</si>
  <si>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</si>
  <si>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</si>
  <si>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</si>
  <si>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</si>
  <si>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</si>
  <si>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</si>
  <si>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</si>
  <si>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</si>
  <si>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</si>
  <si>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</si>
  <si>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</si>
  <si>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</si>
  <si>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</si>
  <si>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</si>
  <si>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</si>
  <si>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</si>
  <si>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</si>
  <si>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</si>
  <si>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</si>
  <si>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</si>
  <si>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</si>
  <si>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</si>
  <si>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</si>
  <si>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</si>
  <si>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</si>
  <si>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</si>
  <si>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</si>
  <si>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</si>
  <si>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</si>
  <si>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</si>
  <si>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</si>
  <si>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</si>
  <si>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</si>
  <si>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</si>
  <si>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</si>
  <si>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</si>
  <si>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</si>
  <si>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</si>
  <si>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</si>
  <si>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</si>
  <si>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</si>
  <si>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</si>
  <si>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</si>
  <si>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</si>
  <si>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</si>
  <si>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</si>
  <si>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</si>
  <si>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</si>
  <si>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</si>
  <si>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</si>
  <si>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</si>
  <si>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</si>
  <si>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</si>
  <si>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</si>
  <si>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</si>
  <si>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</si>
  <si>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</si>
  <si>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</si>
  <si>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</si>
  <si>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</si>
  <si>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</si>
  <si>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</si>
  <si>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</si>
  <si>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</si>
  <si>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</si>
  <si>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</si>
  <si>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</si>
  <si>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</si>
  <si>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</si>
  <si>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</si>
  <si>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</si>
  <si>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</si>
  <si>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</si>
  <si>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</si>
  <si>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</si>
  <si>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</si>
  <si>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</si>
  <si>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</si>
  <si>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</si>
  <si>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</si>
  <si>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</si>
  <si>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</si>
  <si>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</si>
  <si>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</si>
  <si>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</si>
  <si>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</si>
  <si>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</si>
  <si>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</si>
  <si>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</si>
  <si>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</si>
  <si>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</si>
  <si>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</si>
  <si>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</si>
  <si>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</si>
  <si>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</si>
  <si>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</si>
  <si>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</si>
  <si>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</si>
  <si>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</si>
  <si>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</si>
  <si>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</si>
  <si>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</si>
  <si>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</si>
  <si>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</si>
  <si>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</si>
  <si>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</si>
  <si>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</si>
  <si>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</si>
  <si>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</si>
  <si>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</si>
  <si>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</si>
  <si>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</si>
  <si>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</si>
  <si>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</si>
  <si>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</si>
  <si>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</si>
  <si>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</si>
  <si>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</si>
  <si>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</si>
  <si>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</si>
  <si>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</si>
  <si>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</si>
  <si>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</si>
  <si>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</si>
  <si>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</si>
  <si>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</si>
  <si>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</si>
  <si>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</si>
  <si>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</si>
  <si>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</si>
  <si>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</si>
  <si>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</si>
  <si>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</si>
  <si>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</si>
  <si>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</si>
  <si>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</si>
  <si>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</si>
  <si>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</si>
  <si>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</si>
  <si>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</si>
  <si>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</si>
  <si>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</si>
  <si>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</si>
  <si>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</si>
  <si>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</si>
  <si>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</si>
  <si>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</si>
  <si>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</si>
  <si>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</si>
  <si>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</si>
  <si>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</si>
  <si>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</si>
  <si>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</si>
  <si>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</si>
  <si>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</si>
  <si>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</si>
  <si>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</si>
  <si>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</si>
  <si>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</si>
  <si>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</si>
  <si>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</si>
  <si>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</si>
  <si>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</si>
  <si>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</si>
  <si>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</si>
  <si>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</si>
  <si>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</si>
  <si>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</si>
  <si>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</si>
  <si>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</si>
  <si>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</si>
  <si>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</si>
  <si>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</si>
  <si>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</si>
  <si>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</si>
  <si>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</si>
  <si>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</si>
  <si>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</si>
  <si>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</si>
  <si>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</si>
  <si>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</si>
  <si>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</si>
  <si>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</si>
  <si>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</si>
  <si>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</si>
  <si>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</si>
  <si>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</si>
  <si>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</si>
  <si>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</si>
  <si>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</si>
  <si>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</si>
  <si>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</si>
  <si>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</si>
  <si>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</si>
  <si>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</si>
  <si>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</si>
  <si>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</si>
  <si>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</si>
  <si>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</si>
  <si>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</si>
  <si>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</si>
  <si>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</si>
  <si>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</si>
  <si>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</si>
  <si>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</si>
  <si>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</si>
  <si>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</si>
  <si>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</si>
  <si>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</si>
  <si>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</si>
  <si>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</si>
  <si>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</si>
  <si>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</si>
  <si>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</si>
  <si>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</si>
  <si>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</si>
  <si>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</si>
  <si>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</si>
  <si>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</si>
  <si>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</si>
  <si>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</si>
  <si>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</si>
  <si>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</si>
  <si>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</si>
  <si>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</si>
  <si>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</si>
  <si>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</si>
  <si>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</si>
  <si>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</si>
  <si>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</si>
  <si>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</si>
  <si>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</si>
  <si>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</si>
  <si>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</si>
  <si>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</si>
  <si>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</si>
  <si>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</si>
  <si>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</si>
  <si>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</si>
  <si>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</si>
  <si>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</si>
  <si>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</si>
  <si>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</si>
  <si>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</si>
  <si>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</si>
  <si>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</si>
  <si>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</si>
  <si>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</si>
  <si>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</si>
  <si>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</si>
  <si>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</si>
  <si>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</si>
  <si>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</si>
  <si>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</si>
  <si>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</si>
  <si>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</si>
  <si>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</si>
  <si>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</si>
  <si>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</si>
  <si>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</si>
  <si>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</si>
  <si>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</si>
  <si>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</si>
  <si>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</si>
  <si>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</si>
  <si>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</si>
  <si>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</si>
  <si>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</si>
  <si>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</si>
  <si>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</si>
  <si>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</si>
  <si>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</si>
  <si>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</si>
  <si>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</si>
  <si>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</si>
  <si>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</si>
  <si>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</si>
  <si>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</si>
  <si>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</si>
  <si>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</si>
  <si>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</si>
  <si>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</si>
  <si>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</si>
  <si>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</si>
  <si>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</si>
  <si>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</si>
  <si>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</si>
  <si>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</si>
  <si>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</si>
  <si>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</si>
  <si>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</si>
  <si>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</si>
  <si>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</si>
  <si>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</si>
  <si>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</si>
  <si>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</si>
  <si>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</si>
  <si>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</si>
  <si>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</si>
  <si>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</si>
  <si>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</si>
  <si>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</si>
  <si>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</si>
  <si>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</si>
  <si>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</si>
  <si>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</si>
  <si>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</si>
  <si>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</si>
  <si>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</si>
  <si>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</si>
  <si>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</si>
  <si>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</si>
  <si>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</si>
  <si>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</si>
  <si>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</si>
  <si>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</si>
  <si>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</si>
  <si>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</si>
  <si>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</si>
  <si>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</si>
  <si>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</si>
  <si>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</si>
  <si>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</si>
  <si>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</si>
  <si>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</si>
  <si>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</si>
  <si>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</si>
  <si>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</si>
  <si>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</si>
  <si>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</si>
  <si>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</si>
  <si>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</si>
  <si>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</si>
  <si>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</si>
  <si>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</si>
  <si>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</si>
  <si>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</si>
  <si>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</si>
  <si>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</si>
  <si>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</si>
  <si>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</si>
  <si>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</si>
  <si>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</si>
  <si>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</si>
  <si>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</si>
  <si>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</si>
  <si>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</si>
  <si>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</si>
  <si>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</si>
  <si>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</si>
  <si>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</si>
  <si>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</si>
  <si>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</si>
  <si>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</si>
  <si>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</si>
  <si>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</si>
  <si>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</si>
  <si>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</si>
  <si>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</si>
  <si>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</si>
  <si>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</si>
  <si>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</si>
  <si>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</si>
  <si>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</si>
  <si>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</si>
  <si>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</si>
  <si>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</si>
  <si>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</si>
  <si>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</si>
  <si>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</si>
  <si>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</si>
  <si>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</si>
  <si>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</si>
  <si>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</si>
  <si>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</si>
  <si>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</si>
  <si>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</si>
  <si>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</si>
  <si>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</si>
  <si>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</si>
  <si>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</si>
  <si>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</si>
  <si>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</si>
  <si>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</si>
  <si>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</si>
  <si>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</si>
  <si>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</si>
  <si>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</si>
  <si>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</si>
  <si>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</si>
  <si>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</si>
  <si>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</si>
  <si>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</si>
  <si>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</si>
  <si>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</si>
  <si>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</si>
  <si>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</si>
  <si>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</si>
  <si>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</si>
  <si>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</si>
  <si>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</si>
  <si>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</si>
  <si>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</si>
  <si>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</si>
  <si>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</si>
  <si>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</si>
  <si>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</si>
  <si>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</si>
  <si>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</si>
  <si>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</si>
  <si>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</si>
  <si>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</si>
  <si>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</si>
  <si>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</si>
  <si>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</si>
  <si>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</si>
  <si>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</si>
  <si>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</si>
  <si>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</si>
  <si>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</si>
  <si>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</si>
  <si>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</si>
  <si>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</si>
  <si>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</si>
  <si>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</si>
  <si>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</si>
  <si>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</si>
  <si>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Minister  Labour</t>
  </si>
  <si>
    <t>Deputy Minister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</si>
</sst>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28</v>
      </c>
      <c r="B3" s="2">
        <v>1</v>
      </c>
      <c r="C3" s="2">
        <v>1</v>
      </c>
      <c r="D3" s="62" t="str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/>
      </c>
      <c r="E3" s="62" t="str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/>
      </c>
      <c r="F3" s="62" t="str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/>
      </c>
      <c r="G3" s="69" t="str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/>
      </c>
      <c r="H3" s="62" t="str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/>
      </c>
      <c r="I3" s="62" t="str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/>
      </c>
      <c r="J3" s="62" t="str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/>
      </c>
      <c r="K3" s="62" t="str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/>
      </c>
      <c r="L3" s="62" t="str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/>
      </c>
      <c r="M3" s="62" t="str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/>
      </c>
      <c r="N3" s="62" t="str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/>
      </c>
      <c r="O3" s="62" t="str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/>
      </c>
      <c r="P3" s="62" t="str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/>
      </c>
      <c r="Q3" s="62" t="str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/>
      </c>
      <c r="R3" s="62" t="str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/>
      </c>
      <c r="S3" s="62" t="str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/>
      </c>
      <c r="T3" s="62" t="str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/>
      </c>
      <c r="U3" s="62" t="str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/>
      </c>
      <c r="V3" s="62" t="str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/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0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28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0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1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0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0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0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0.06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5.8999999999999997E-2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5.7000000000000002E-2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3105</v>
      </c>
    </row>
    <row r="5" spans="1:29" x14ac:dyDescent="0.25">
      <c r="A5" s="2">
        <f>Results!$D$3</f>
        <v>28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0.67726552867527134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5.4202334094012768E-2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8.05753969418435E-2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1.0543304751004321E-3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8.6946760496781461E-2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8.6706617458963769E-2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9.1667714366525255E-3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4.6493321202808601E-4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1.0037996641365901E-5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1.0856414004176401E-5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3.596432798700395E-3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7.1093524479374823E-2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7.0498447438033282E-2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6.9498447438033295E-2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6.7498447438033279E-2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1.24801936402402E-2</v>
      </c>
      <c r="AB5" s="2">
        <f>SUMIFS(PERSALDATA!$G$2:$G$20871,PERSALDATA!$A$2:$A$20871,WORKING!A5,PERSALDATA!$D$2:$D$20871,WORKING!B5,PERSALDATA!$E$2:$E$20871,WORKING!C5,PERSALDATA!$F$2:$F$20871,"S&amp;W: BASIC SALARY (RES)")</f>
        <v>183</v>
      </c>
      <c r="AC5" s="2">
        <f>SUMIFS(PERSALDATA!$H$2:$H$20871,PERSALDATA!$A$2:$A$20871,WORKING!A5,PERSALDATA!$D$2:$D$20871,WORKING!B5,PERSALDATA!$E$2:$E$20871,WORKING!C5)</f>
        <v>18572431.000000007</v>
      </c>
    </row>
    <row r="6" spans="1:29" x14ac:dyDescent="0.25">
      <c r="A6" s="2">
        <f>Results!$D$3</f>
        <v>28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0.63661555086663724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5.1880749441382774E-2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6.4680833292303799E-2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8.4663010549785894E-2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6.4362801737617423E-2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8.2915238444852796E-2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7.5859381480648776E-3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3.8242557483825955E-4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6.9134519445169188E-3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7.198533589411156E-2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7.031863369314123E-2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6.9318633693141229E-2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6.7318633693141214E-2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1.3058609090928609E-2</v>
      </c>
      <c r="AB6" s="2">
        <f>SUMIFS(PERSALDATA!$G$2:$G$20871,PERSALDATA!$A$2:$A$20871,WORKING!A6,PERSALDATA!$D$2:$D$20871,WORKING!B6,PERSALDATA!$E$2:$E$20871,WORKING!C6,PERSALDATA!$F$2:$F$20871,"S&amp;W: BASIC SALARY (RES)")</f>
        <v>62</v>
      </c>
      <c r="AC6" s="2">
        <f>SUMIFS(PERSALDATA!$H$2:$H$20871,PERSALDATA!$A$2:$A$20871,WORKING!A6,PERSALDATA!$D$2:$D$20871,WORKING!B6,PERSALDATA!$E$2:$E$20871,WORKING!C6)</f>
        <v>8277166.0899999999</v>
      </c>
    </row>
    <row r="7" spans="1:29" x14ac:dyDescent="0.25">
      <c r="A7" s="2">
        <f>Results!$D$3</f>
        <v>28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0.69980978807572991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5.6515828357743922E-2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5.833386890053395E-2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6.3342149162564755E-3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6.8595252009936561E-2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9.0394456278640775E-2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1.3545141937225245E-2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3.5136905625238874E-4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8.7943443720686404E-4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4.1435391578069514E-3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1.0971068726671957E-3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7.2526959491698545E-2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7.0445590091143748E-2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6.9445590091143733E-2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6.7445590091143731E-2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1.309079265049916E-2</v>
      </c>
      <c r="AB7" s="2">
        <f>SUMIFS(PERSALDATA!$G$2:$G$20871,PERSALDATA!$A$2:$A$20871,WORKING!A7,PERSALDATA!$D$2:$D$20871,WORKING!B7,PERSALDATA!$E$2:$E$20871,WORKING!C7,PERSALDATA!$F$2:$F$20871,"S&amp;W: BASIC SALARY (RES)")</f>
        <v>252</v>
      </c>
      <c r="AC7" s="2">
        <f>SUMIFS(PERSALDATA!$H$2:$H$20871,PERSALDATA!$A$2:$A$20871,WORKING!A7,PERSALDATA!$D$2:$D$20871,WORKING!B7,PERSALDATA!$E$2:$E$20871,WORKING!C7)</f>
        <v>36351180.539999984</v>
      </c>
    </row>
    <row r="8" spans="1:29" x14ac:dyDescent="0.25">
      <c r="A8" s="2">
        <f>Results!$D$3</f>
        <v>28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0.70190038402478794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6.0457567742983283E-2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5.1254983346870543E-2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1.0480842072687221E-2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6.9083870863797719E-2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9.1317987915492629E-2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1.4168165678743365E-2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2.9664167980633199E-4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3.341983670410202E-4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7.0535830778980146E-4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7.3071795457730987E-2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7.0523708229488266E-2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6.9523708229488251E-2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6.752370822948825E-2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1.3190467561642879E-2</v>
      </c>
      <c r="AB8" s="2">
        <f>SUMIFS(PERSALDATA!$G$2:$G$20871,PERSALDATA!$A$2:$A$20871,WORKING!A8,PERSALDATA!$D$2:$D$20871,WORKING!B8,PERSALDATA!$E$2:$E$20871,WORKING!C8,PERSALDATA!$F$2:$F$20871,"S&amp;W: BASIC SALARY (RES)")</f>
        <v>323</v>
      </c>
      <c r="AC8" s="2">
        <f>SUMIFS(PERSALDATA!$H$2:$H$20871,PERSALDATA!$A$2:$A$20871,WORKING!A8,PERSALDATA!$D$2:$D$20871,WORKING!B8,PERSALDATA!$E$2:$E$20871,WORKING!C8)</f>
        <v>51754830.980000004</v>
      </c>
    </row>
    <row r="9" spans="1:29" x14ac:dyDescent="0.25">
      <c r="A9" s="2">
        <f>Results!$D$3</f>
        <v>28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0.72842133478905136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6.0113682445178174E-2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4.1425929165264053E-2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8.8443737547686564E-3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4.8361757113009482E-2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9.380985026365761E-2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1.3758008471379332E-2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2.4370087869365979E-4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5.4250451155680741E-4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7.5110682784483747E-4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2.7507011382312632E-3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9.7705064136471408E-4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7.3528693983022059E-2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7.0311167065042507E-2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6.9311167065042506E-2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6.731116706504249E-2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1.3649529192645492E-2</v>
      </c>
      <c r="AB9" s="2">
        <f>SUMIFS(PERSALDATA!$G$2:$G$20871,PERSALDATA!$A$2:$A$20871,WORKING!A9,PERSALDATA!$D$2:$D$20871,WORKING!B9,PERSALDATA!$E$2:$E$20871,WORKING!C9,PERSALDATA!$F$2:$F$20871,"S&amp;W: BASIC SALARY (RES)")</f>
        <v>203</v>
      </c>
      <c r="AC9" s="2">
        <f>SUMIFS(PERSALDATA!$H$2:$H$20871,PERSALDATA!$A$2:$A$20871,WORKING!A9,PERSALDATA!$D$2:$D$20871,WORKING!B9,PERSALDATA!$E$2:$E$20871,WORKING!C9)</f>
        <v>39873143.060000002</v>
      </c>
    </row>
    <row r="10" spans="1:29" x14ac:dyDescent="0.25">
      <c r="A10" s="2">
        <f>Results!$D$3</f>
        <v>28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0.73879823194710015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6.1677902595939436E-2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3.4031593508318754E-2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5.8726985610227656E-3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4.4629781190692989E-2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9.604755152233109E-2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1.6809949463574107E-2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1.9597553884127342E-4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9.0440641956376778E-5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4.0432774740420418E-4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9.0737045307595144E-4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5.341768297428709E-4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7.403841583003748E-2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7.0329130782777236E-2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6.9329130782777193E-2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6.7329130782777219E-2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1.3817139746432203E-2</v>
      </c>
      <c r="AB10" s="2">
        <f>SUMIFS(PERSALDATA!$G$2:$G$20871,PERSALDATA!$A$2:$A$20871,WORKING!A10,PERSALDATA!$D$2:$D$20871,WORKING!B10,PERSALDATA!$E$2:$E$20871,WORKING!C10,PERSALDATA!$F$2:$F$20871,"S&amp;W: BASIC SALARY (RES)")</f>
        <v>161</v>
      </c>
      <c r="AC10" s="2">
        <f>SUMIFS(PERSALDATA!$H$2:$H$20871,PERSALDATA!$A$2:$A$20871,WORKING!A10,PERSALDATA!$D$2:$D$20871,WORKING!B10,PERSALDATA!$E$2:$E$20871,WORKING!C10)</f>
        <v>39075131.75</v>
      </c>
    </row>
    <row r="11" spans="1:29" x14ac:dyDescent="0.25">
      <c r="A11" s="2">
        <f>Results!$D$3</f>
        <v>28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0.75502870117868615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6.0056744959115269E-2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2.9634865240817387E-2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1.3221679010799541E-3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3.6534902750913742E-2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9.815297192904765E-2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5.714794147320108E-3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1.765757412124474E-4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1.6283400076167096E-3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1.1459476775748828E-2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2.9045936844153809E-4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7.425923888021066E-2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7.0251674888855503E-2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6.9251674888855516E-2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6.7251674888855528E-2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1.4004804844005842E-2</v>
      </c>
      <c r="AB11" s="2">
        <f>SUMIFS(PERSALDATA!$G$2:$G$20871,PERSALDATA!$A$2:$A$20871,WORKING!A11,PERSALDATA!$D$2:$D$20871,WORKING!B11,PERSALDATA!$E$2:$E$20871,WORKING!C11,PERSALDATA!$F$2:$F$20871,"S&amp;W: BASIC SALARY (RES)")</f>
        <v>73</v>
      </c>
      <c r="AC11" s="2">
        <f>SUMIFS(PERSALDATA!$H$2:$H$20871,PERSALDATA!$A$2:$A$20871,WORKING!A11,PERSALDATA!$D$2:$D$20871,WORKING!B11,PERSALDATA!$E$2:$E$20871,WORKING!C11)</f>
        <v>17124322.850000001</v>
      </c>
    </row>
    <row r="12" spans="1:29" x14ac:dyDescent="0.25">
      <c r="A12" s="2">
        <f>Results!$D$3</f>
        <v>28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0.747506982797007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6.2323186561528951E-2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2.1853991150686796E-2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5.8448276625893136E-3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3.3940700744250353E-2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9.5702905828311938E-2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1.9848331462531732E-2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1.3326596717066772E-4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1.1181401998967854E-3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4.4045783547308906E-3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6.3472957584314559E-3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9.7579351286402975E-4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7.4814266482967309E-2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7.029057059965689E-2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6.9290570599656875E-2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6.7290570599656901E-2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1.416108063206838E-2</v>
      </c>
      <c r="AB12" s="2">
        <f>SUMIFS(PERSALDATA!$G$2:$G$20871,PERSALDATA!$A$2:$A$20871,WORKING!A12,PERSALDATA!$D$2:$D$20871,WORKING!B12,PERSALDATA!$E$2:$E$20871,WORKING!C12,PERSALDATA!$F$2:$F$20871,"S&amp;W: BASIC SALARY (RES)")</f>
        <v>82</v>
      </c>
      <c r="AC12" s="2">
        <f>SUMIFS(PERSALDATA!$H$2:$H$20871,PERSALDATA!$A$2:$A$20871,WORKING!A12,PERSALDATA!$D$2:$D$20871,WORKING!B12,PERSALDATA!$E$2:$E$20871,WORKING!C12)</f>
        <v>31312495.520000003</v>
      </c>
    </row>
    <row r="13" spans="1:29" x14ac:dyDescent="0.25">
      <c r="A13" s="2">
        <f>Results!$D$3</f>
        <v>28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0.70386539505131895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3.0992884478145768E-2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1.2810271412640316E-2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3.0683803661504787E-5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6.9957142668242338E-3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7.6236137842289567E-2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0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1.1568147755051875E-4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0.13721043854676457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3.1121052120328264E-2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6.2174100047647301E-4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1.4701174992644775E-2</v>
      </c>
      <c r="AB13" s="2">
        <f>SUMIFS(PERSALDATA!$G$2:$G$20871,PERSALDATA!$A$2:$A$20871,WORKING!A13,PERSALDATA!$D$2:$D$20871,WORKING!B13,PERSALDATA!$E$2:$E$20871,WORKING!C13,PERSALDATA!$F$2:$F$20871,"S&amp;W: BASIC SALARY (RES)")</f>
        <v>31</v>
      </c>
      <c r="AC13" s="2">
        <f>SUMIFS(PERSALDATA!$H$2:$H$20871,PERSALDATA!$A$2:$A$20871,WORKING!A13,PERSALDATA!$D$2:$D$20871,WORKING!B13,PERSALDATA!$E$2:$E$20871,WORKING!C13)</f>
        <v>10571701.069999998</v>
      </c>
    </row>
    <row r="14" spans="1:29" x14ac:dyDescent="0.25">
      <c r="A14" s="2">
        <f>Results!$D$3</f>
        <v>28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0.72513938294396374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5.0680193364915666E-2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4.9251951709802858E-3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7.5224796593884057E-4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1.3081383050728729E-2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9.4289661129244459E-2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1.5275372022270486E-2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9.4713094881514794E-5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7.1986928647495459E-4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9.1821541753646777E-2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2.9521917126159474E-3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2.682485043384889E-4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1.472848063025114E-2</v>
      </c>
      <c r="AB14" s="2">
        <f>SUMIFS(PERSALDATA!$G$2:$G$20871,PERSALDATA!$A$2:$A$20871,WORKING!A14,PERSALDATA!$D$2:$D$20871,WORKING!B14,PERSALDATA!$E$2:$E$20871,WORKING!C14,PERSALDATA!$F$2:$F$20871,"S&amp;W: BASIC SALARY (RES)")</f>
        <v>154</v>
      </c>
      <c r="AC14" s="2">
        <f>SUMIFS(PERSALDATA!$H$2:$H$20871,PERSALDATA!$A$2:$A$20871,WORKING!A14,PERSALDATA!$D$2:$D$20871,WORKING!B14,PERSALDATA!$E$2:$E$20871,WORKING!C14)</f>
        <v>30462947.110000022</v>
      </c>
    </row>
    <row r="15" spans="1:29" x14ac:dyDescent="0.25">
      <c r="A15" s="2">
        <f>Results!$D$3</f>
        <v>28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0.64574538547192817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4.2723704051540974E-2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2.1466828940017897E-3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8.9354402591549347E-3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7.5251914285760502E-2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7.1043879797886844E-3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7.2791099475940521E-5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0.19532397068559484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2.0315727634791367E-2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2.379995637962738E-3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1.483267628621051E-2</v>
      </c>
      <c r="AB15" s="2">
        <f>SUMIFS(PERSALDATA!$G$2:$G$20871,PERSALDATA!$A$2:$A$20871,WORKING!A15,PERSALDATA!$D$2:$D$20871,WORKING!B15,PERSALDATA!$E$2:$E$20871,WORKING!C15,PERSALDATA!$F$2:$F$20871,"S&amp;W: BASIC SALARY (RES)")</f>
        <v>24</v>
      </c>
      <c r="AC15" s="2">
        <f>SUMIFS(PERSALDATA!$H$2:$H$20871,PERSALDATA!$A$2:$A$20871,WORKING!A15,PERSALDATA!$D$2:$D$20871,WORKING!B15,PERSALDATA!$E$2:$E$20871,WORKING!C15)</f>
        <v>18089024.75</v>
      </c>
    </row>
    <row r="16" spans="1:29" x14ac:dyDescent="0.25">
      <c r="A16" s="2">
        <f>Results!$D$3</f>
        <v>28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0.64211539354734137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3.267130296231293E-2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5.1565603969213952E-3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6.5835640370074866E-3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7.2342863097644566E-2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6.408379981746847E-5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0.2289999425049343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9.5648705885435868E-3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2.5014190654769064E-3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1.4822936876493805E-2</v>
      </c>
      <c r="AB16" s="2">
        <f>SUMIFS(PERSALDATA!$G$2:$G$20871,PERSALDATA!$A$2:$A$20871,WORKING!A16,PERSALDATA!$D$2:$D$20871,WORKING!B16,PERSALDATA!$E$2:$E$20871,WORKING!C16,PERSALDATA!$F$2:$F$20871,"S&amp;W: BASIC SALARY (RES)")</f>
        <v>17</v>
      </c>
      <c r="AC16" s="2">
        <f>SUMIFS(PERSALDATA!$H$2:$H$20871,PERSALDATA!$A$2:$A$20871,WORKING!A16,PERSALDATA!$D$2:$D$20871,WORKING!B16,PERSALDATA!$E$2:$E$20871,WORKING!C16)</f>
        <v>8522122.6199999992</v>
      </c>
    </row>
    <row r="17" spans="1:29" x14ac:dyDescent="0.25">
      <c r="A17" s="2">
        <f>Results!$D$3</f>
        <v>28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0.60070162159025353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5.0058468465854461E-2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7.4304355716752887E-3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5.7602144068452611E-3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7.8091115847549852E-2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1.58347812017866E-2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5.0583840991995119E-5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0.20820108429360151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3.1731015937860124E-2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2.1406788435815735E-3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1.4801381492707315E-2</v>
      </c>
      <c r="AB17" s="2">
        <f>SUMIFS(PERSALDATA!$G$2:$G$20871,PERSALDATA!$A$2:$A$20871,WORKING!A17,PERSALDATA!$D$2:$D$20871,WORKING!B17,PERSALDATA!$E$2:$E$20871,WORKING!C17,PERSALDATA!$F$2:$F$20871,"S&amp;W: BASIC SALARY (RES)")</f>
        <v>3</v>
      </c>
      <c r="AC17" s="2">
        <f>SUMIFS(PERSALDATA!$H$2:$H$20871,PERSALDATA!$A$2:$A$20871,WORKING!A17,PERSALDATA!$D$2:$D$20871,WORKING!B17,PERSALDATA!$E$2:$E$20871,WORKING!C17)</f>
        <v>4149151.1099999989</v>
      </c>
    </row>
    <row r="18" spans="1:29" x14ac:dyDescent="0.25">
      <c r="A18" s="2">
        <f>Results!$D$3</f>
        <v>28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0.60848961098900745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3.5543183509925955E-2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2.0906202489338458E-3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9.0710439435504983E-2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1.819151649445421E-5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0.26295656113667232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1.9139316346116381E-4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1.4968367823518576E-2</v>
      </c>
      <c r="AB18" s="2">
        <f>SUMIFS(PERSALDATA!$G$2:$G$20871,PERSALDATA!$A$2:$A$20871,WORKING!A18,PERSALDATA!$D$2:$D$20871,WORKING!B18,PERSALDATA!$E$2:$E$20871,WORKING!C18,PERSALDATA!$F$2:$F$20871,"S&amp;W: BASIC SALARY (RES)")</f>
        <v>4</v>
      </c>
      <c r="AC18" s="2">
        <f>SUMIFS(PERSALDATA!$H$2:$H$20871,PERSALDATA!$A$2:$A$20871,WORKING!A18,PERSALDATA!$D$2:$D$20871,WORKING!B18,PERSALDATA!$E$2:$E$20871,WORKING!C18)</f>
        <v>7691497.2999999989</v>
      </c>
    </row>
    <row r="19" spans="1:29" x14ac:dyDescent="0.25">
      <c r="A19" s="2">
        <f>Results!$D$3</f>
        <v>28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28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28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28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0.8205213419396763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6.8791551082381497E-2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6.0799760359563342E-5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0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3.345285959954607E-3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0.10666671502932505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0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6.1430622830302743E-4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0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0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0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7.6042213221652027E-2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7.0049571291795745E-2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6.904957129179573E-2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6.7049571291795729E-2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1.4939694120770741E-2</v>
      </c>
      <c r="AB22" s="2">
        <f>SUMIFS(PERSALDATA!$G$2:$G$20871,PERSALDATA!$A$2:$A$20871,WORKING!A22,PERSALDATA!$D$2:$D$20871,WORKING!B22,PERSALDATA!$E$2:$E$20871,WORKING!C22,PERSALDATA!$F$2:$F$20871,"S&amp;W: BASIC SALARY (RES)")</f>
        <v>16</v>
      </c>
      <c r="AC22" s="2">
        <f>SUMIFS(PERSALDATA!$H$2:$H$20871,PERSALDATA!$A$2:$A$20871,WORKING!A22,PERSALDATA!$D$2:$D$20871,WORKING!B22,PERSALDATA!$E$2:$E$20871,WORKING!C22)</f>
        <v>1924349.69</v>
      </c>
    </row>
    <row r="23" spans="1:29" x14ac:dyDescent="0.25">
      <c r="A23" s="2">
        <f>Results!$D$3</f>
        <v>28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0.81423539233186504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0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7.940978844417898E-2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0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0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0.10584578211854455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0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5.0903710541140373E-4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6.9964856078242391E-2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6.9205902115558202E-2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6.8205902115558201E-2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6.6205902115558213E-2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1.3801217616756144E-2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1473.3700000000001</v>
      </c>
    </row>
    <row r="24" spans="1:29" x14ac:dyDescent="0.25">
      <c r="A24" s="2">
        <f>Results!$D$3</f>
        <v>28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0.70110952802469317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5.8724505221282253E-2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6.2649290020183601E-2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1.0343072170064542E-3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6.8976986391237546E-2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9.1218735148730898E-2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1.5354510865372603E-2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3.507870602963735E-4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5.3624184640219867E-4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4.5108204794870064E-5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7.2204331767943372E-2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7.0408161895666732E-2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6.9408161895666717E-2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6.7408161895666729E-2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1.3020344047924237E-2</v>
      </c>
      <c r="AB24" s="2">
        <f>SUMIFS(PERSALDATA!$G$2:$G$20871,PERSALDATA!$A$2:$A$20871,WORKING!A24,PERSALDATA!$D$2:$D$20871,WORKING!B24,PERSALDATA!$E$2:$E$20871,WORKING!C24,PERSALDATA!$F$2:$F$20871,"S&amp;W: BASIC SALARY (RES)")</f>
        <v>108</v>
      </c>
      <c r="AC24" s="2">
        <f>SUMIFS(PERSALDATA!$H$2:$H$20871,PERSALDATA!$A$2:$A$20871,WORKING!A24,PERSALDATA!$D$2:$D$20871,WORKING!B24,PERSALDATA!$E$2:$E$20871,WORKING!C24)</f>
        <v>13855129.080000008</v>
      </c>
    </row>
    <row r="25" spans="1:29" x14ac:dyDescent="0.25">
      <c r="A25" s="2">
        <f>Results!$D$3</f>
        <v>28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0.71221893098812528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5.9296364779981098E-2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5.2066144635703769E-2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1.428575034837431E-3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6.4453998158754008E-2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9.2675200774762378E-2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1.1646802063780199E-2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2.9917886483580371E-4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5.5696717561608787E-3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3.8304947968923782E-6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9.9840976477352339E-5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2.4146147178472671E-4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7.294532898190903E-2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7.044614852602428E-2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6.9446148526024293E-2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6.7446148526024277E-2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1.3247710175110594E-2</v>
      </c>
      <c r="AB25" s="2">
        <f>SUMIFS(PERSALDATA!$G$2:$G$20871,PERSALDATA!$A$2:$A$20871,WORKING!A25,PERSALDATA!$D$2:$D$20871,WORKING!B25,PERSALDATA!$E$2:$E$20871,WORKING!C25,PERSALDATA!$F$2:$F$20871,"S&amp;W: BASIC SALARY (RES)")</f>
        <v>1688</v>
      </c>
      <c r="AC25" s="2">
        <f>SUMIFS(PERSALDATA!$H$2:$H$20871,PERSALDATA!$A$2:$A$20871,WORKING!A25,PERSALDATA!$D$2:$D$20871,WORKING!B25,PERSALDATA!$E$2:$E$20871,WORKING!C25)</f>
        <v>139130850.78000003</v>
      </c>
    </row>
    <row r="26" spans="1:29" x14ac:dyDescent="0.25">
      <c r="A26" s="2">
        <f>Results!$D$3</f>
        <v>28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0.72239998412983863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6.1322585789815406E-2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3.8371870035057987E-2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4.5147538447693706E-3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5.3158315837325394E-2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9.3925728015958707E-2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1.5523098505176398E-2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2.4059267260172413E-4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7.4051391128037523E-3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1.3478897042519433E-3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1.7900423524007396E-3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7.3827954299058141E-2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7.041365603720931E-2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6.9413656037209309E-2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6.7413656037209307E-2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1.3623438321825223E-2</v>
      </c>
      <c r="AB26" s="2">
        <f>SUMIFS(PERSALDATA!$G$2:$G$20871,PERSALDATA!$A$2:$A$20871,WORKING!A26,PERSALDATA!$D$2:$D$20871,WORKING!B26,PERSALDATA!$E$2:$E$20871,WORKING!C26,PERSALDATA!$F$2:$F$20871,"S&amp;W: BASIC SALARY (RES)")</f>
        <v>224</v>
      </c>
      <c r="AC26" s="2">
        <f>SUMIFS(PERSALDATA!$H$2:$H$20871,PERSALDATA!$A$2:$A$20871,WORKING!A26,PERSALDATA!$D$2:$D$20871,WORKING!B26,PERSALDATA!$E$2:$E$20871,WORKING!C26)</f>
        <v>27150826.869999994</v>
      </c>
    </row>
    <row r="27" spans="1:29" x14ac:dyDescent="0.25">
      <c r="A27" s="2">
        <f>Results!$D$3</f>
        <v>28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0.73907492110356687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6.1480987586790679E-2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3.3325740614774883E-2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2.3790873804950151E-3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4.1074355099208398E-2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9.6103806268538011E-2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1.4274749956478544E-2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1.9445787297273038E-4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8.6511975814091008E-3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3.275190046253256E-5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1.9573500165024167E-3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1.4505946188009828E-3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7.4042284684666018E-2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7.0282857920340377E-2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6.9282857920340377E-2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6.7282857920340389E-2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1.3881081696195664E-2</v>
      </c>
      <c r="AB27" s="2">
        <f>SUMIFS(PERSALDATA!$G$2:$G$20871,PERSALDATA!$A$2:$A$20871,WORKING!A27,PERSALDATA!$D$2:$D$20871,WORKING!B27,PERSALDATA!$E$2:$E$20871,WORKING!C27,PERSALDATA!$F$2:$F$20871,"S&amp;W: BASIC SALARY (RES)")</f>
        <v>731</v>
      </c>
      <c r="AC27" s="2">
        <f>SUMIFS(PERSALDATA!$H$2:$H$20871,PERSALDATA!$A$2:$A$20871,WORKING!A27,PERSALDATA!$D$2:$D$20871,WORKING!B27,PERSALDATA!$E$2:$E$20871,WORKING!C27)</f>
        <v>121059845.19999999</v>
      </c>
    </row>
    <row r="28" spans="1:29" x14ac:dyDescent="0.25">
      <c r="A28" s="2">
        <f>Results!$D$3</f>
        <v>28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0.73678616802872721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6.0898363730854298E-2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2.9071165229033497E-2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3.6554316205893118E-2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9.5781506495862673E-2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1.2996754859981259E-2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1.744575136963029E-4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2.7737267935951646E-2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7.4302351869475952E-2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7.0257603090798079E-2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6.9257603090798078E-2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6.7257603090798077E-2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1.4013000915770658E-2</v>
      </c>
      <c r="AB28" s="2">
        <f>SUMIFS(PERSALDATA!$G$2:$G$20871,PERSALDATA!$A$2:$A$20871,WORKING!A28,PERSALDATA!$D$2:$D$20871,WORKING!B28,PERSALDATA!$E$2:$E$20871,WORKING!C28,PERSALDATA!$F$2:$F$20871,"S&amp;W: BASIC SALARY (RES)")</f>
        <v>16</v>
      </c>
      <c r="AC28" s="2">
        <f>SUMIFS(PERSALDATA!$H$2:$H$20871,PERSALDATA!$A$2:$A$20871,WORKING!A28,PERSALDATA!$D$2:$D$20871,WORKING!B28,PERSALDATA!$E$2:$E$20871,WORKING!C28)</f>
        <v>4455755.3500000006</v>
      </c>
    </row>
    <row r="29" spans="1:29" x14ac:dyDescent="0.25">
      <c r="A29" s="2">
        <f>Results!$D$3</f>
        <v>28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0.76813724747458501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6.2721998079045285E-2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2.5521697604853556E-2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2.2691617395671029E-3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2.9839019944456868E-2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9.9879012233068012E-2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7.079457016477139E-3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1.3971666067601801E-4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3.3968222395851493E-3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9.6271101797385222E-4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5.31559897118793E-5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7.4478097261253526E-2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7.0192368323118301E-2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6.9192368323118328E-2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6.7192368323118326E-2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1.4167493486850201E-2</v>
      </c>
      <c r="AB29" s="2">
        <f>SUMIFS(PERSALDATA!$G$2:$G$20871,PERSALDATA!$A$2:$A$20871,WORKING!A29,PERSALDATA!$D$2:$D$20871,WORKING!B29,PERSALDATA!$E$2:$E$20871,WORKING!C29,PERSALDATA!$F$2:$F$20871,"S&amp;W: BASIC SALARY (RES)")</f>
        <v>61</v>
      </c>
      <c r="AC29" s="2">
        <f>SUMIFS(PERSALDATA!$H$2:$H$20871,PERSALDATA!$A$2:$A$20871,WORKING!A29,PERSALDATA!$D$2:$D$20871,WORKING!B29,PERSALDATA!$E$2:$E$20871,WORKING!C29)</f>
        <v>21722105.190000001</v>
      </c>
    </row>
    <row r="30" spans="1:29" x14ac:dyDescent="0.25">
      <c r="A30" s="2">
        <f>Results!$D$3</f>
        <v>28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0.60152712298720157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0.24497129869995496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0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2.8404868570824211E-2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8.5793098713980068E-2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0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9.131074771842196E-5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3.921230028032071E-2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1.4572557310221857E-2</v>
      </c>
      <c r="AB30" s="2">
        <f>SUMIFS(PERSALDATA!$G$2:$G$20871,PERSALDATA!$A$2:$A$20871,WORKING!A30,PERSALDATA!$D$2:$D$20871,WORKING!B30,PERSALDATA!$E$2:$E$20871,WORKING!C30,PERSALDATA!$F$2:$F$20871,"S&amp;W: BASIC SALARY (RES)")</f>
        <v>1</v>
      </c>
      <c r="AC30" s="2">
        <f>SUMIFS(PERSALDATA!$H$2:$H$20871,PERSALDATA!$A$2:$A$20871,WORKING!A30,PERSALDATA!$D$2:$D$20871,WORKING!B30,PERSALDATA!$E$2:$E$20871,WORKING!C30)</f>
        <v>121781.94000000002</v>
      </c>
    </row>
    <row r="31" spans="1:29" x14ac:dyDescent="0.25">
      <c r="A31" s="2">
        <f>Results!$D$3</f>
        <v>28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0.72642026089771972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6.0001506087218437E-2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7.0359084849471679E-3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1.3033274752437696E-3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1.7430076105147969E-2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9.4459662448605042E-2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1.1841836341879833E-2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1.0036090982068755E-4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2.0191071717550499E-3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7.3995601851801748E-2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4.5776540112507725E-3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8.1469821460975161E-4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1.4631504817501263E-2</v>
      </c>
      <c r="AB31" s="2">
        <f>SUMIFS(PERSALDATA!$G$2:$G$20871,PERSALDATA!$A$2:$A$20871,WORKING!A31,PERSALDATA!$D$2:$D$20871,WORKING!B31,PERSALDATA!$E$2:$E$20871,WORKING!C31,PERSALDATA!$F$2:$F$20871,"S&amp;W: BASIC SALARY (RES)")</f>
        <v>141</v>
      </c>
      <c r="AC31" s="2">
        <f>SUMIFS(PERSALDATA!$H$2:$H$20871,PERSALDATA!$A$2:$A$20871,WORKING!A31,PERSALDATA!$D$2:$D$20871,WORKING!B31,PERSALDATA!$E$2:$E$20871,WORKING!C31)</f>
        <v>33700969.890000001</v>
      </c>
    </row>
    <row r="32" spans="1:29" x14ac:dyDescent="0.25">
      <c r="A32" s="2">
        <f>Results!$D$3</f>
        <v>28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0.65424821536306754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4.6286243585254072E-2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2.1849045825204721E-2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9.2853518094293871E-3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8.5052032162541341E-2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7.7160923977900539E-5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0.17646737819935884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6.7345721311663342E-3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1.453182662162082E-2</v>
      </c>
      <c r="AB32" s="2">
        <f>SUMIFS(PERSALDATA!$G$2:$G$20871,PERSALDATA!$A$2:$A$20871,WORKING!A32,PERSALDATA!$D$2:$D$20871,WORKING!B32,PERSALDATA!$E$2:$E$20871,WORKING!C32,PERSALDATA!$F$2:$F$20871,"S&amp;W: BASIC SALARY (RES)")</f>
        <v>14</v>
      </c>
      <c r="AC32" s="2">
        <f>SUMIFS(PERSALDATA!$H$2:$H$20871,PERSALDATA!$A$2:$A$20871,WORKING!A32,PERSALDATA!$D$2:$D$20871,WORKING!B32,PERSALDATA!$E$2:$E$20871,WORKING!C32)</f>
        <v>10230048.569999998</v>
      </c>
    </row>
    <row r="33" spans="1:29" x14ac:dyDescent="0.25">
      <c r="A33" s="2">
        <f>Results!$D$3</f>
        <v>28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0.61474922744131555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4.3147040647196128E-2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2.2311687815402957E-2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2.0581613037098299E-2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7.9917930347713564E-2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6.4418102815992772E-5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0.20396282336565733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1.5265259242800306E-2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1.4355634215670241E-2</v>
      </c>
      <c r="AB33" s="2">
        <f>SUMIFS(PERSALDATA!$G$2:$G$20871,PERSALDATA!$A$2:$A$20871,WORKING!A33,PERSALDATA!$D$2:$D$20871,WORKING!B33,PERSALDATA!$E$2:$E$20871,WORKING!C33,PERSALDATA!$F$2:$F$20871,"S&amp;W: BASIC SALARY (RES)")</f>
        <v>10</v>
      </c>
      <c r="AC33" s="2">
        <f>SUMIFS(PERSALDATA!$H$2:$H$20871,PERSALDATA!$A$2:$A$20871,WORKING!A33,PERSALDATA!$D$2:$D$20871,WORKING!B33,PERSALDATA!$E$2:$E$20871,WORKING!C33)</f>
        <v>3254830.4099999997</v>
      </c>
    </row>
    <row r="34" spans="1:29" x14ac:dyDescent="0.25">
      <c r="A34" s="2">
        <f>Results!$D$3</f>
        <v>28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0.62895058918017144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4.1055481782822645E-3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0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8.1763427055185273E-2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5.6245672375480204E-5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0.28512418991398547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1.4999156314914365E-2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1036524.1900000001</v>
      </c>
    </row>
    <row r="35" spans="1:29" x14ac:dyDescent="0.25">
      <c r="A35" s="2">
        <f>Results!$D$3</f>
        <v>28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28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28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0.71409758073755425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5.9508131728129521E-2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0.13287459118917441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9.2831110685912391E-2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6.8858565922923286E-4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6.5901531069622737E-2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6.8671254088108258E-2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6.7671254088108243E-2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6.5671254088108241E-2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1.2996552347273944E-2</v>
      </c>
      <c r="AB37" s="2">
        <f>SUMIFS(PERSALDATA!$G$2:$G$20871,PERSALDATA!$A$2:$A$20871,WORKING!A37,PERSALDATA!$D$2:$D$20871,WORKING!B37,PERSALDATA!$E$2:$E$20871,WORKING!C37,PERSALDATA!$F$2:$F$20871,"S&amp;W: BASIC SALARY (RES)")</f>
        <v>1</v>
      </c>
      <c r="AC37" s="2">
        <f>SUMIFS(PERSALDATA!$H$2:$H$20871,PERSALDATA!$A$2:$A$20871,WORKING!A37,PERSALDATA!$D$2:$D$20871,WORKING!B37,PERSALDATA!$E$2:$E$20871,WORKING!C37)</f>
        <v>101599.56000000001</v>
      </c>
    </row>
    <row r="38" spans="1:29" x14ac:dyDescent="0.25">
      <c r="A38" s="2">
        <f>Results!$D$3</f>
        <v>28</v>
      </c>
      <c r="B38" s="2">
        <v>3</v>
      </c>
      <c r="C38" s="2">
        <v>2</v>
      </c>
      <c r="D38" s="62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>0.64700664179783474</v>
      </c>
      <c r="E38" s="62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>7.7955053596837451E-2</v>
      </c>
      <c r="F38" s="62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>0.10629326091977354</v>
      </c>
      <c r="G38" s="69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>0</v>
      </c>
      <c r="H38" s="62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>9.388060376456478E-2</v>
      </c>
      <c r="I38" s="62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>7.4393640520296594E-2</v>
      </c>
      <c r="J38" s="62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>0</v>
      </c>
      <c r="K38" s="62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>4.7079940069309008E-4</v>
      </c>
      <c r="L38" s="62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>0</v>
      </c>
      <c r="M38" s="62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>0</v>
      </c>
      <c r="N38" s="62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>0</v>
      </c>
      <c r="O38" s="62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>0</v>
      </c>
      <c r="P38" s="62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>0</v>
      </c>
      <c r="Q38" s="62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>0</v>
      </c>
      <c r="R38" s="62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>0</v>
      </c>
      <c r="S38" s="62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>0</v>
      </c>
      <c r="T38" s="62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>0</v>
      </c>
      <c r="U38" s="62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>0</v>
      </c>
      <c r="V38" s="62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>0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6.9236040622801143E-2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7.0345276447270746E-2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6.9345276447270759E-2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6.7345276447270758E-2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1.1990330038724531E-2</v>
      </c>
      <c r="AB38" s="2">
        <f>SUMIFS(PERSALDATA!$G$2:$G$20871,PERSALDATA!$A$2:$A$20871,WORKING!A38,PERSALDATA!$D$2:$D$20871,WORKING!B38,PERSALDATA!$E$2:$E$20871,WORKING!C38,PERSALDATA!$F$2:$F$20871,"S&amp;W: BASIC SALARY (RES)")</f>
        <v>1</v>
      </c>
      <c r="AC38" s="2">
        <f>SUMIFS(PERSALDATA!$H$2:$H$20871,PERSALDATA!$A$2:$A$20871,WORKING!A38,PERSALDATA!$D$2:$D$20871,WORKING!B38,PERSALDATA!$E$2:$E$20871,WORKING!C38)</f>
        <v>148598.31999999998</v>
      </c>
    </row>
    <row r="39" spans="1:29" x14ac:dyDescent="0.25">
      <c r="A39" s="2">
        <f>Results!$D$3</f>
        <v>28</v>
      </c>
      <c r="B39" s="2">
        <v>3</v>
      </c>
      <c r="C39" s="2">
        <v>3</v>
      </c>
      <c r="D39" s="62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>0.83061336936873242</v>
      </c>
      <c r="E39" s="62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>1.9550242164162568E-2</v>
      </c>
      <c r="F39" s="62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>2.7476649330926611E-2</v>
      </c>
      <c r="G39" s="69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>5.2954709378431469E-2</v>
      </c>
      <c r="H39" s="62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>3.3959241100452113E-2</v>
      </c>
      <c r="I39" s="62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>3.0503765153915362E-2</v>
      </c>
      <c r="J39" s="62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>2.9958509613633179E-3</v>
      </c>
      <c r="K39" s="62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>1.6848783065578861E-4</v>
      </c>
      <c r="L39" s="62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>0</v>
      </c>
      <c r="M39" s="62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>1.1183457626997375E-3</v>
      </c>
      <c r="N39" s="62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>3.0944306376906339E-6</v>
      </c>
      <c r="O39" s="62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>0</v>
      </c>
      <c r="P39" s="62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>6.5624451802300259E-4</v>
      </c>
      <c r="Q39" s="62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>0</v>
      </c>
      <c r="R39" s="62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>0</v>
      </c>
      <c r="S39" s="62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>0</v>
      </c>
      <c r="T39" s="62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>0</v>
      </c>
      <c r="U39" s="62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>0</v>
      </c>
      <c r="V39" s="62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>0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7.4387204026255926E-2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7.0234622123197532E-2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6.9234622123197531E-2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6.7234622123197529E-2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1.4075934326069482E-2</v>
      </c>
      <c r="AB39" s="2">
        <f>SUMIFS(PERSALDATA!$G$2:$G$20871,PERSALDATA!$A$2:$A$20871,WORKING!A39,PERSALDATA!$D$2:$D$20871,WORKING!B39,PERSALDATA!$E$2:$E$20871,WORKING!C39,PERSALDATA!$F$2:$F$20871,"S&amp;W: BASIC SALARY (RES)")</f>
        <v>346</v>
      </c>
      <c r="AC39" s="2">
        <f>SUMIFS(PERSALDATA!$H$2:$H$20871,PERSALDATA!$A$2:$A$20871,WORKING!A39,PERSALDATA!$D$2:$D$20871,WORKING!B39,PERSALDATA!$E$2:$E$20871,WORKING!C39)</f>
        <v>33566756.590000004</v>
      </c>
    </row>
    <row r="40" spans="1:29" x14ac:dyDescent="0.25">
      <c r="A40" s="2">
        <f>Results!$D$3</f>
        <v>28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0.55646532099402601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4.6276095179911166E-2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5.7517831011354117E-2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0.16856982638452186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7.6435992182700377E-2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7.2380212212072109E-2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8.7334162662654601E-3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3.3270346907016525E-4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1.3288602300078849E-2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7.269874873369489E-2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7.0571361572626987E-2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6.9571361572626986E-2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6.757136157262697E-2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1.2985702100053131E-2</v>
      </c>
      <c r="AB40" s="2">
        <f>SUMIFS(PERSALDATA!$G$2:$G$20871,PERSALDATA!$A$2:$A$20871,WORKING!A40,PERSALDATA!$D$2:$D$20871,WORKING!B40,PERSALDATA!$E$2:$E$20871,WORKING!C40,PERSALDATA!$F$2:$F$20871,"S&amp;W: BASIC SALARY (RES)")</f>
        <v>129</v>
      </c>
      <c r="AC40" s="2">
        <f>SUMIFS(PERSALDATA!$H$2:$H$20871,PERSALDATA!$A$2:$A$20871,WORKING!A40,PERSALDATA!$D$2:$D$20871,WORKING!B40,PERSALDATA!$E$2:$E$20871,WORKING!C40)</f>
        <v>18625684.960000001</v>
      </c>
    </row>
    <row r="41" spans="1:29" x14ac:dyDescent="0.25">
      <c r="A41" s="2">
        <f>Results!$D$3</f>
        <v>28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0.69663323809427702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5.6641420232072762E-2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5.7293845997525093E-2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1.9672331013334945E-2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6.6022461245406575E-2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9.0380337015775331E-2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9.1058509159515216E-3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3.4656473681459788E-4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9.6567079238980738E-4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2.682492097592993E-3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4.1471658155806106E-6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2.5164069304360441E-4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7.2569982161623775E-2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7.0417398458705843E-2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6.9417398458705842E-2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6.7417398458705841E-2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1.3145056920303802E-2</v>
      </c>
      <c r="AB41" s="2">
        <f>SUMIFS(PERSALDATA!$G$2:$G$20871,PERSALDATA!$A$2:$A$20871,WORKING!A41,PERSALDATA!$D$2:$D$20871,WORKING!B41,PERSALDATA!$E$2:$E$20871,WORKING!C41,PERSALDATA!$F$2:$F$20871,"S&amp;W: BASIC SALARY (RES)")</f>
        <v>606</v>
      </c>
      <c r="AC41" s="2">
        <f>SUMIFS(PERSALDATA!$H$2:$H$20871,PERSALDATA!$A$2:$A$20871,WORKING!A41,PERSALDATA!$D$2:$D$20871,WORKING!B41,PERSALDATA!$E$2:$E$20871,WORKING!C41)</f>
        <v>84771146.280000135</v>
      </c>
    </row>
    <row r="42" spans="1:29" x14ac:dyDescent="0.25">
      <c r="A42" s="2">
        <f>Results!$D$3</f>
        <v>28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0.69740174792010734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5.7612285817509941E-2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5.1043729843884146E-2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2.5071805943690181E-2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6.2466501147911073E-2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9.0832541220511639E-2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1.1913950864151247E-2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2.9902636961578484E-4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7.6519634711933165E-4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3.0868423041928233E-5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2.1105913893879127E-3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1.836049821119804E-6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4.4991866324834578E-4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7.2995207547935551E-2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7.0426560218779827E-2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6.9426560218779812E-2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6.7426560218779824E-2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1.3292861139578834E-2</v>
      </c>
      <c r="AB42" s="2">
        <f>SUMIFS(PERSALDATA!$G$2:$G$20871,PERSALDATA!$A$2:$A$20871,WORKING!A42,PERSALDATA!$D$2:$D$20871,WORKING!B42,PERSALDATA!$E$2:$E$20871,WORKING!C42,PERSALDATA!$F$2:$F$20871,"S&amp;W: BASIC SALARY (RES)")</f>
        <v>3221</v>
      </c>
      <c r="AC42" s="2">
        <f>SUMIFS(PERSALDATA!$H$2:$H$20871,PERSALDATA!$A$2:$A$20871,WORKING!A42,PERSALDATA!$D$2:$D$20871,WORKING!B42,PERSALDATA!$E$2:$E$20871,WORKING!C42)</f>
        <v>569646851.61000001</v>
      </c>
    </row>
    <row r="43" spans="1:29" x14ac:dyDescent="0.25">
      <c r="A43" s="2">
        <f>Results!$D$3</f>
        <v>28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0.71292946290004211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5.8200145122627278E-2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4.0388071217809345E-2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2.3559895274524633E-2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5.2816600477052472E-2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9.2111313425562419E-2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1.4759077306900107E-2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2.4029339372344527E-4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1.4280969283239895E-3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8.7872438616523095E-5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1.0173751668018012E-3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2.4617963480157734E-3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7.3669938994125203E-2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7.0388368294977688E-2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6.9388368294977687E-2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6.7388368294977699E-2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1.3598325523671219E-2</v>
      </c>
      <c r="AB43" s="2">
        <f>SUMIFS(PERSALDATA!$G$2:$G$20871,PERSALDATA!$A$2:$A$20871,WORKING!A43,PERSALDATA!$D$2:$D$20871,WORKING!B43,PERSALDATA!$E$2:$E$20871,WORKING!C43,PERSALDATA!$F$2:$F$20871,"S&amp;W: BASIC SALARY (RES)")</f>
        <v>815</v>
      </c>
      <c r="AC43" s="2">
        <f>SUMIFS(PERSALDATA!$H$2:$H$20871,PERSALDATA!$A$2:$A$20871,WORKING!A43,PERSALDATA!$D$2:$D$20871,WORKING!B43,PERSALDATA!$E$2:$E$20871,WORKING!C43)</f>
        <v>167696495.42000005</v>
      </c>
    </row>
    <row r="44" spans="1:29" x14ac:dyDescent="0.25">
      <c r="A44" s="2">
        <f>Results!$D$3</f>
        <v>28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0.72923128295221107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6.1172368958527013E-2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3.214950761093318E-2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1.8446512812198217E-2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4.2041776228195368E-2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9.4876563969663E-2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1.4828950056787103E-2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1.9338547373680726E-4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3.4074146574207742E-3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3.7612390684835894E-5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2.3905160547538053E-3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1.2241088348886281E-3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7.4145222288763787E-2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7.0309131567313582E-2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6.9309131567313595E-2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6.7309131567313579E-2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1.3884229960307016E-2</v>
      </c>
      <c r="AB44" s="2">
        <f>SUMIFS(PERSALDATA!$G$2:$G$20871,PERSALDATA!$A$2:$A$20871,WORKING!A44,PERSALDATA!$D$2:$D$20871,WORKING!B44,PERSALDATA!$E$2:$E$20871,WORKING!C44,PERSALDATA!$F$2:$F$20871,"S&amp;W: BASIC SALARY (RES)")</f>
        <v>1390</v>
      </c>
      <c r="AC44" s="2">
        <f>SUMIFS(PERSALDATA!$H$2:$H$20871,PERSALDATA!$A$2:$A$20871,WORKING!A44,PERSALDATA!$D$2:$D$20871,WORKING!B44,PERSALDATA!$E$2:$E$20871,WORKING!C44)</f>
        <v>364516313.65000057</v>
      </c>
    </row>
    <row r="45" spans="1:29" x14ac:dyDescent="0.25">
      <c r="A45" s="2">
        <f>Results!$D$3</f>
        <v>28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0.746057373291107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6.2277302754994296E-2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2.7521460672636795E-2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2.0240347375924714E-2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3.6100081577817543E-2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9.699416905943993E-2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7.2591383110054662E-3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1.762061111271538E-4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2.243737746735312E-4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1.5639483753686998E-5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2.0430997935050512E-3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6.6384590802670183E-4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4.2696188598806059E-4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7.4413770130969059E-2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7.0266286616940885E-2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6.9266286616940925E-2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6.7266286616940868E-2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1.4043033774576275E-2</v>
      </c>
      <c r="AB45" s="2">
        <f>SUMIFS(PERSALDATA!$G$2:$G$20871,PERSALDATA!$A$2:$A$20871,WORKING!A45,PERSALDATA!$D$2:$D$20871,WORKING!B45,PERSALDATA!$E$2:$E$20871,WORKING!C45,PERSALDATA!$F$2:$F$20871,"S&amp;W: BASIC SALARY (RES)")</f>
        <v>181</v>
      </c>
      <c r="AC45" s="2">
        <f>SUMIFS(PERSALDATA!$H$2:$H$20871,PERSALDATA!$A$2:$A$20871,WORKING!A45,PERSALDATA!$D$2:$D$20871,WORKING!B45,PERSALDATA!$E$2:$E$20871,WORKING!C45)</f>
        <v>50759987.510000005</v>
      </c>
    </row>
    <row r="46" spans="1:29" x14ac:dyDescent="0.25">
      <c r="A46" s="2">
        <f>Results!$D$3</f>
        <v>28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0.72988388415305383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6.1446615721999318E-2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2.0018115605587472E-2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1.3008121873870047E-2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3.0125929679056678E-2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9.4965693939510432E-2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1.5172848452304325E-2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1.3029889237564172E-4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1.870167859937802E-3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3.0991618617436264E-2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1.285477797330858E-3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1.1012274075371915E-3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7.4900386229482141E-2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7.025170778912998E-2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6.9251707789129965E-2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6.7251707789129964E-2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1.4245884837344699E-2</v>
      </c>
      <c r="AB46" s="2">
        <f>SUMIFS(PERSALDATA!$G$2:$G$20871,PERSALDATA!$A$2:$A$20871,WORKING!A46,PERSALDATA!$D$2:$D$20871,WORKING!B46,PERSALDATA!$E$2:$E$20871,WORKING!C46,PERSALDATA!$F$2:$F$20871,"S&amp;W: BASIC SALARY (RES)")</f>
        <v>353</v>
      </c>
      <c r="AC46" s="2">
        <f>SUMIFS(PERSALDATA!$H$2:$H$20871,PERSALDATA!$A$2:$A$20871,WORKING!A46,PERSALDATA!$D$2:$D$20871,WORKING!B46,PERSALDATA!$E$2:$E$20871,WORKING!C46)</f>
        <v>148711164.36000001</v>
      </c>
    </row>
    <row r="47" spans="1:29" x14ac:dyDescent="0.25">
      <c r="A47" s="2">
        <f>Results!$D$3</f>
        <v>28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0.70405476098390229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4.7867523923728693E-2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9.1801276303971422E-3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9.3752054680387303E-3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2.1404905522075034E-2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9.1477538940107642E-2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8.3183916961886116E-3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1.1642757529996752E-4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9.5389901273050374E-4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9.5918884513642347E-2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7.0325380727638389E-3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3.8472572727550778E-3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4.525393883699895E-4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1.4539478089083418E-2</v>
      </c>
      <c r="AB47" s="2">
        <f>SUMIFS(PERSALDATA!$G$2:$G$20871,PERSALDATA!$A$2:$A$20871,WORKING!A47,PERSALDATA!$D$2:$D$20871,WORKING!B47,PERSALDATA!$E$2:$E$20871,WORKING!C47,PERSALDATA!$F$2:$F$20871,"S&amp;W: BASIC SALARY (RES)")</f>
        <v>92</v>
      </c>
      <c r="AC47" s="2">
        <f>SUMIFS(PERSALDATA!$H$2:$H$20871,PERSALDATA!$A$2:$A$20871,WORKING!A47,PERSALDATA!$D$2:$D$20871,WORKING!B47,PERSALDATA!$E$2:$E$20871,WORKING!C47)</f>
        <v>43228590.709999979</v>
      </c>
    </row>
    <row r="48" spans="1:29" x14ac:dyDescent="0.25">
      <c r="A48" s="2">
        <f>Results!$D$3</f>
        <v>28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0.72376330713445047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5.5099052329403257E-2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1.0222091618572056E-2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4.6844078582001531E-3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1.6014580847644178E-2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9.4137568106186537E-2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1.067140733493138E-2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9.6817666636293061E-5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1.768323329479426E-3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8.1616049917145869E-2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1.0007442454584791E-3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7.1558430831695374E-5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8.5409118106034572E-4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1.4604997648007212E-2</v>
      </c>
      <c r="AB48" s="2">
        <f>SUMIFS(PERSALDATA!$G$2:$G$20871,PERSALDATA!$A$2:$A$20871,WORKING!A48,PERSALDATA!$D$2:$D$20871,WORKING!B48,PERSALDATA!$E$2:$E$20871,WORKING!C48,PERSALDATA!$F$2:$F$20871,"S&amp;W: BASIC SALARY (RES)")</f>
        <v>232</v>
      </c>
      <c r="AC48" s="2">
        <f>SUMIFS(PERSALDATA!$H$2:$H$20871,PERSALDATA!$A$2:$A$20871,WORKING!A48,PERSALDATA!$D$2:$D$20871,WORKING!B48,PERSALDATA!$E$2:$E$20871,WORKING!C48)</f>
        <v>115199843.03999996</v>
      </c>
    </row>
    <row r="49" spans="1:29" x14ac:dyDescent="0.25">
      <c r="A49" s="2">
        <f>Results!$D$3</f>
        <v>28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0.65093210782207944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4.2481376469668861E-2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3.2335773191676243E-2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1.2701316895118985E-2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8.4620992169681497E-2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2.2914793006989604E-3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7.7161736519823647E-5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0.16867359903454868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5.8861933800075398E-3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1.4323286222650274E-2</v>
      </c>
      <c r="AB49" s="2">
        <f>SUMIFS(PERSALDATA!$G$2:$G$20871,PERSALDATA!$A$2:$A$20871,WORKING!A49,PERSALDATA!$D$2:$D$20871,WORKING!B49,PERSALDATA!$E$2:$E$20871,WORKING!C49,PERSALDATA!$F$2:$F$20871,"S&amp;W: BASIC SALARY (RES)")</f>
        <v>58</v>
      </c>
      <c r="AC49" s="2">
        <f>SUMIFS(PERSALDATA!$H$2:$H$20871,PERSALDATA!$A$2:$A$20871,WORKING!A49,PERSALDATA!$D$2:$D$20871,WORKING!B49,PERSALDATA!$E$2:$E$20871,WORKING!C49)</f>
        <v>39126257.859999999</v>
      </c>
    </row>
    <row r="50" spans="1:29" x14ac:dyDescent="0.25">
      <c r="A50" s="2">
        <f>Results!$D$3</f>
        <v>28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0.63829705111765889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3.6896582066041378E-2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1.6537299302495954E-2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1.334106636668568E-2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7.8715878441706674E-2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6.3486352347202164E-5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0.20933963520091153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4.6283310376990447E-3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2.0742454639542445E-3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1.0642465049936517E-4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1.4550872219677064E-2</v>
      </c>
      <c r="AB50" s="2">
        <f>SUMIFS(PERSALDATA!$G$2:$G$20871,PERSALDATA!$A$2:$A$20871,WORKING!A50,PERSALDATA!$D$2:$D$20871,WORKING!B50,PERSALDATA!$E$2:$E$20871,WORKING!C50,PERSALDATA!$F$2:$F$20871,"S&amp;W: BASIC SALARY (RES)")</f>
        <v>26</v>
      </c>
      <c r="AC50" s="2">
        <f>SUMIFS(PERSALDATA!$H$2:$H$20871,PERSALDATA!$A$2:$A$20871,WORKING!A50,PERSALDATA!$D$2:$D$20871,WORKING!B50,PERSALDATA!$E$2:$E$20871,WORKING!C50)</f>
        <v>22256121.950000003</v>
      </c>
    </row>
    <row r="51" spans="1:29" x14ac:dyDescent="0.25">
      <c r="A51" s="2">
        <f>Results!$D$3</f>
        <v>28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0.58243903760827431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6.1841906959339665E-2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2.6999620586502886E-2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1.2350811629343957E-2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7.5716961627134427E-2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2.0146759588311174E-2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4.8993026021244692E-5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0.22045590897507231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1.4409008621371976E-2</v>
      </c>
      <c r="AB51" s="2">
        <f>SUMIFS(PERSALDATA!$G$2:$G$20871,PERSALDATA!$A$2:$A$20871,WORKING!A51,PERSALDATA!$D$2:$D$20871,WORKING!B51,PERSALDATA!$E$2:$E$20871,WORKING!C51,PERSALDATA!$F$2:$F$20871,"S&amp;W: BASIC SALARY (RES)")</f>
        <v>2</v>
      </c>
      <c r="AC51" s="2">
        <f>SUMIFS(PERSALDATA!$H$2:$H$20871,PERSALDATA!$A$2:$A$20871,WORKING!A51,PERSALDATA!$D$2:$D$20871,WORKING!B51,PERSALDATA!$E$2:$E$20871,WORKING!C51)</f>
        <v>3212906.2600000002</v>
      </c>
    </row>
    <row r="52" spans="1:29" x14ac:dyDescent="0.25">
      <c r="A52" s="2">
        <f>Results!$D$3</f>
        <v>28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28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28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28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28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28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28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0.69656791805610085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6.0010345498948098E-2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6.1034665601936211E-2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2.3006461658265165E-3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7.052292261334811E-2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9.0643798665620223E-2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1.857347315634315E-2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3.4623024187675116E-4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7.2348686330839712E-2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7.0447497183180871E-2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6.944749718318087E-2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6.7447497183180855E-2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1.3021442723142582E-2</v>
      </c>
      <c r="AB58" s="2">
        <f>SUMIFS(PERSALDATA!$G$2:$G$20871,PERSALDATA!$A$2:$A$20871,WORKING!A58,PERSALDATA!$D$2:$D$20871,WORKING!B58,PERSALDATA!$E$2:$E$20871,WORKING!C58,PERSALDATA!$F$2:$F$20871,"S&amp;W: BASIC SALARY (RES)")</f>
        <v>20</v>
      </c>
      <c r="AC58" s="2">
        <f>SUMIFS(PERSALDATA!$H$2:$H$20871,PERSALDATA!$A$2:$A$20871,WORKING!A58,PERSALDATA!$D$2:$D$20871,WORKING!B58,PERSALDATA!$E$2:$E$20871,WORKING!C58)</f>
        <v>3557257.14</v>
      </c>
    </row>
    <row r="59" spans="1:29" x14ac:dyDescent="0.25">
      <c r="A59" s="2">
        <f>Results!$D$3</f>
        <v>28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28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0.72910568873742532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6.1338736912425293E-2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4.4262216300852239E-2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6.7428649712296222E-4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5.2618559094378653E-2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9.4862252060729249E-2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1.5425785111813426E-2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2.4408838190576561E-4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3.6164777875431603E-6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1.464770425559686E-3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7.3372731388456527E-2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7.0346656223407161E-2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6.934665622340716E-2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6.7346656223407173E-2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1.3543127043342953E-2</v>
      </c>
      <c r="AB60" s="2">
        <f>SUMIFS(PERSALDATA!$G$2:$G$20871,PERSALDATA!$A$2:$A$20871,WORKING!A60,PERSALDATA!$D$2:$D$20871,WORKING!B60,PERSALDATA!$E$2:$E$20871,WORKING!C60,PERSALDATA!$F$2:$F$20871,"S&amp;W: BASIC SALARY (RES)")</f>
        <v>55</v>
      </c>
      <c r="AC60" s="2">
        <f>SUMIFS(PERSALDATA!$H$2:$H$20871,PERSALDATA!$A$2:$A$20871,WORKING!A60,PERSALDATA!$D$2:$D$20871,WORKING!B60,PERSALDATA!$E$2:$E$20871,WORKING!C60)</f>
        <v>13825606.829999998</v>
      </c>
    </row>
    <row r="61" spans="1:29" x14ac:dyDescent="0.25">
      <c r="A61" s="2">
        <f>Results!$D$3</f>
        <v>28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0.73229288461850239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6.0853447169148381E-2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3.2301741667143051E-2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4.1356295229525011E-2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9.5197412076764298E-2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2.0852420037683572E-2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1.944787394717173E-4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1.6273816945075504E-2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6.7750351668588709E-4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7.4124055766510447E-2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7.0297327011771424E-2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6.9297327011771437E-2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6.7297327011771449E-2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1.38922122654579E-2</v>
      </c>
      <c r="AB61" s="2">
        <f>SUMIFS(PERSALDATA!$G$2:$G$20871,PERSALDATA!$A$2:$A$20871,WORKING!A61,PERSALDATA!$D$2:$D$20871,WORKING!B61,PERSALDATA!$E$2:$E$20871,WORKING!C61,PERSALDATA!$F$2:$F$20871,"S&amp;W: BASIC SALARY (RES)")</f>
        <v>32</v>
      </c>
      <c r="AC61" s="2">
        <f>SUMIFS(PERSALDATA!$H$2:$H$20871,PERSALDATA!$A$2:$A$20871,WORKING!A61,PERSALDATA!$D$2:$D$20871,WORKING!B61,PERSALDATA!$E$2:$E$20871,WORKING!C61)</f>
        <v>11070053.240000002</v>
      </c>
    </row>
    <row r="62" spans="1:29" x14ac:dyDescent="0.25">
      <c r="A62" s="2">
        <f>Results!$D$3</f>
        <v>28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0.72555192887814324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6.0686798690648899E-2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3.2934556036451575E-2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4.2749053735314138E-2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9.4321397012630828E-2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4.3585591458640015E-2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1.7067418817112235E-4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7.4095460493524057E-2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7.0311890245665185E-2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6.9311890245665184E-2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6.7311890245665182E-2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1.3862185740600944E-2</v>
      </c>
      <c r="AB62" s="2">
        <f>SUMIFS(PERSALDATA!$G$2:$G$20871,PERSALDATA!$A$2:$A$20871,WORKING!A62,PERSALDATA!$D$2:$D$20871,WORKING!B62,PERSALDATA!$E$2:$E$20871,WORKING!C62,PERSALDATA!$F$2:$F$20871,"S&amp;W: BASIC SALARY (RES)")</f>
        <v>1</v>
      </c>
      <c r="AC62" s="2">
        <f>SUMIFS(PERSALDATA!$H$2:$H$20871,PERSALDATA!$A$2:$A$20871,WORKING!A62,PERSALDATA!$D$2:$D$20871,WORKING!B62,PERSALDATA!$E$2:$E$20871,WORKING!C62)</f>
        <v>409903.81000000006</v>
      </c>
    </row>
    <row r="63" spans="1:29" x14ac:dyDescent="0.25">
      <c r="A63" s="2">
        <f>Results!$D$3</f>
        <v>28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0.76340441725275787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6.3544550325402654E-2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2.3581208479154916E-2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1.3251515729309818E-4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3.188905115530876E-2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9.9352892953086649E-2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1.795044177828322E-2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1.3808102310224128E-4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6.8418756105016298E-6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7.4654274871758519E-2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7.0242523682538097E-2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6.9242523682538096E-2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6.724252368253808E-2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1.416587489013651E-2</v>
      </c>
      <c r="AB63" s="2">
        <f>SUMIFS(PERSALDATA!$G$2:$G$20871,PERSALDATA!$A$2:$A$20871,WORKING!A63,PERSALDATA!$D$2:$D$20871,WORKING!B63,PERSALDATA!$E$2:$E$20871,WORKING!C63,PERSALDATA!$F$2:$F$20871,"S&amp;W: BASIC SALARY (RES)")</f>
        <v>39</v>
      </c>
      <c r="AC63" s="2">
        <f>SUMIFS(PERSALDATA!$H$2:$H$20871,PERSALDATA!$A$2:$A$20871,WORKING!A63,PERSALDATA!$D$2:$D$20871,WORKING!B63,PERSALDATA!$E$2:$E$20871,WORKING!C63)</f>
        <v>17539050.23</v>
      </c>
    </row>
    <row r="64" spans="1:29" x14ac:dyDescent="0.25">
      <c r="A64" s="2">
        <f>Results!$D$3</f>
        <v>28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0.71663260189579558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5.9940789949048008E-2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1.4931306168397628E-2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2.2695585375964392E-2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9.3161767386403638E-2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4.4153356738810635E-2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1.1576128159504769E-4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4.8368831203985004E-2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1.443386020761064E-2</v>
      </c>
      <c r="AB64" s="2">
        <f>SUMIFS(PERSALDATA!$G$2:$G$20871,PERSALDATA!$A$2:$A$20871,WORKING!A64,PERSALDATA!$D$2:$D$20871,WORKING!B64,PERSALDATA!$E$2:$E$20871,WORKING!C64,PERSALDATA!$F$2:$F$20871,"S&amp;W: BASIC SALARY (RES)")</f>
        <v>1</v>
      </c>
      <c r="AC64" s="2">
        <f>SUMIFS(PERSALDATA!$H$2:$H$20871,PERSALDATA!$A$2:$A$20871,WORKING!A64,PERSALDATA!$D$2:$D$20871,WORKING!B64,PERSALDATA!$E$2:$E$20871,WORKING!C64)</f>
        <v>458097.9</v>
      </c>
    </row>
    <row r="65" spans="1:29" x14ac:dyDescent="0.25">
      <c r="A65" s="2">
        <f>Results!$D$3</f>
        <v>28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0.72755630498220336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5.6790949696994025E-2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3.7013708488223508E-3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1.7636654758812501E-2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9.4278165712807657E-2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1.6145916720846844E-2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9.441823179273834E-5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7.8885030158851357E-2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3.4495095154865813E-3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1.4616793733826434E-3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1.4678513342408585E-2</v>
      </c>
      <c r="AB65" s="2">
        <f>SUMIFS(PERSALDATA!$G$2:$G$20871,PERSALDATA!$A$2:$A$20871,WORKING!A65,PERSALDATA!$D$2:$D$20871,WORKING!B65,PERSALDATA!$E$2:$E$20871,WORKING!C65,PERSALDATA!$F$2:$F$20871,"S&amp;W: BASIC SALARY (RES)")</f>
        <v>27</v>
      </c>
      <c r="AC65" s="2">
        <f>SUMIFS(PERSALDATA!$H$2:$H$20871,PERSALDATA!$A$2:$A$20871,WORKING!A65,PERSALDATA!$D$2:$D$20871,WORKING!B65,PERSALDATA!$E$2:$E$20871,WORKING!C65)</f>
        <v>18392104.649999999</v>
      </c>
    </row>
    <row r="66" spans="1:29" x14ac:dyDescent="0.25">
      <c r="A66" s="2">
        <f>Results!$D$3</f>
        <v>28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0.61077744409722279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3.3392501478255759E-2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1.4082624044370058E-2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1.3149379381737381E-2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7.9400867542721784E-2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7.9660800284217688E-3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7.5786182934163785E-5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0.2411553172443362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1.4590383155864372E-2</v>
      </c>
      <c r="AB66" s="2">
        <f>SUMIFS(PERSALDATA!$G$2:$G$20871,PERSALDATA!$A$2:$A$20871,WORKING!A66,PERSALDATA!$D$2:$D$20871,WORKING!B66,PERSALDATA!$E$2:$E$20871,WORKING!C66,PERSALDATA!$F$2:$F$20871,"S&amp;W: BASIC SALARY (RES)")</f>
        <v>6</v>
      </c>
      <c r="AC66" s="2">
        <f>SUMIFS(PERSALDATA!$H$2:$H$20871,PERSALDATA!$A$2:$A$20871,WORKING!A66,PERSALDATA!$D$2:$D$20871,WORKING!B66,PERSALDATA!$E$2:$E$20871,WORKING!C66)</f>
        <v>5538740.4900000002</v>
      </c>
    </row>
    <row r="67" spans="1:29" x14ac:dyDescent="0.25">
      <c r="A67" s="2">
        <f>Results!$D$3</f>
        <v>28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0.59668097388847674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3.177432744699233E-2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1.6665199388444956E-3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1.5921931495720309E-2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7.7568401088775246E-2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5.9914169334691013E-5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0.26510614221032364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1.1221789761532552E-2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1.4735274515941508E-2</v>
      </c>
      <c r="AB67" s="2">
        <f>SUMIFS(PERSALDATA!$G$2:$G$20871,PERSALDATA!$A$2:$A$20871,WORKING!A67,PERSALDATA!$D$2:$D$20871,WORKING!B67,PERSALDATA!$E$2:$E$20871,WORKING!C67,PERSALDATA!$F$2:$F$20871,"S&amp;W: BASIC SALARY (RES)")</f>
        <v>3</v>
      </c>
      <c r="AC67" s="2">
        <f>SUMIFS(PERSALDATA!$H$2:$H$20871,PERSALDATA!$A$2:$A$20871,WORKING!A67,PERSALDATA!$D$2:$D$20871,WORKING!B67,PERSALDATA!$E$2:$E$20871,WORKING!C67)</f>
        <v>3600316.96</v>
      </c>
    </row>
    <row r="68" spans="1:29" x14ac:dyDescent="0.25">
      <c r="A68" s="2">
        <f>Results!$D$3</f>
        <v>28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0.67779394557307482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8.3949343079578381E-2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-6.5241927233047128E-3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1.2526450028745049E-2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8.8113126370209585E-2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5.0714724769155305E-5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0.14409061294692774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1.4909205419546857E-2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919654.01</v>
      </c>
    </row>
    <row r="69" spans="1:29" x14ac:dyDescent="0.25">
      <c r="A69" s="2">
        <f>Results!$D$3</f>
        <v>28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28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28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28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28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28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28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28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28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28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28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28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28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28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28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28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28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28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28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28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28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28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28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28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28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28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28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28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28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28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28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28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28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28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28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28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28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28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28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28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28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28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28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28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28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28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28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28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28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28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28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28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28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28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28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28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28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28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28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28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28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28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28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28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28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28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28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28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28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28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28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28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28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28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28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28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28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28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28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28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28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28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28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28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28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28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28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28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28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28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28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28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28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28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28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28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28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28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28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28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28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28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28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28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28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28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28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28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28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28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28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28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28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28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28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28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28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28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28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28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28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28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28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28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28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28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28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28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28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28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28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28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28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28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28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28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28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28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28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28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28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28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28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28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28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28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28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28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28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28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28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28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28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28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28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28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28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28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28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28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28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28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28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28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28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28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28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28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28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28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28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28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28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28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28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28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28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28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28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28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28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28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28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28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28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28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28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28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28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28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28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28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28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28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28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28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28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28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28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28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28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28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28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28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28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28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28</v>
      </c>
      <c r="E3" s="74" t="str">
        <f>INDEX(MAPs!$I$7:$J$54,MATCH(Results!$D$3,MAPs!$I$7:$I$54,0),2)</f>
        <v>Labour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3764.5586191684133</v>
      </c>
      <c r="N9" s="148">
        <f>IFERROR(SUMIFS('Employee Profile (2)'!C$4:C$50,'Employee Profile (2)'!$B$4:$B$50,Results!$D$3),"")</f>
        <v>0.30804014558288301</v>
      </c>
      <c r="O9" s="150" t="s">
        <v>620</v>
      </c>
      <c r="P9" s="143">
        <f>IFERROR(INDEX('Employee Profile (2)'!$AC$4:$AC$50,MATCH(Results!$D$3,'Employee Profile (2)'!$B$4:$B$50,0))*$Q9,"")</f>
        <v>6818.7977280247051</v>
      </c>
      <c r="Q9" s="148">
        <f>IFERROR(SUMIFS('Employee Profile (2)'!J$4:J$50,'Employee Profile (2)'!$B$4:$B$50,Results!$D$3),"")</f>
        <v>0.557957428035734</v>
      </c>
      <c r="R9" s="150" t="s">
        <v>627</v>
      </c>
      <c r="S9" s="144">
        <f>IFERROR(INDEX('Employee Profile (2)'!$AC$4:$AC$50,MATCH(Results!$D$3,'Employee Profile (2)'!$B$4:$B$50,0))*$T9,"")</f>
        <v>365.26866659313993</v>
      </c>
      <c r="T9" s="147">
        <f>IFERROR(SUMIFS('Employee Profile (2)'!N$4:N$50,'Employee Profile (2)'!$B$4:$B$50,Results!$D$3),"")</f>
        <v>2.9888607036506008E-2</v>
      </c>
      <c r="U9" s="150" t="s">
        <v>632</v>
      </c>
      <c r="V9" s="144">
        <f>IFERROR(INDEX('Employee Profile (2)'!$AC$4:$AC$50,MATCH(Results!$D$3,'Employee Profile (2)'!$B$4:$B$50,0))*$W9,"")</f>
        <v>5880.6907466637249</v>
      </c>
      <c r="W9" s="147">
        <f>IFERROR(SUMIFS('Employee Profile (2)'!S$4:S$50,'Employee Profile (2)'!$B$4:$B$50,Results!$D$3),"")</f>
        <v>0.48119554428146022</v>
      </c>
      <c r="X9" s="150" t="s">
        <v>635</v>
      </c>
      <c r="Y9" s="144">
        <f>IFERROR(INDEX('Employee Profile (2)'!$AC$4:$AC$50,MATCH(Results!$D$3,'Employee Profile (2)'!$B$4:$B$50,0))*$Z9,"")</f>
        <v>8588.5311569427595</v>
      </c>
      <c r="Z9" s="147">
        <f>IFERROR(SUMIFS('Employee Profile (2)'!V$4:V$50,'Employee Profile (2)'!$B$4:$B$50,Results!$D$3),"")</f>
        <v>0.70276828057791996</v>
      </c>
      <c r="AA9" s="150" t="s">
        <v>675</v>
      </c>
      <c r="AB9" s="144">
        <f>IFERROR(SUMIFS('Employee Profile (2)'!$AD$4:$AD$50,'Employee Profile (2)'!$B$4:$B$50,Results!$D$3),"")</f>
        <v>1572</v>
      </c>
      <c r="AC9" s="147">
        <f>IFERROR(SUMIFS('Employee Profile (2)'!$AE$4:$AE$50,'Employee Profile (2)'!$B$4:$B$50,Results!$D$3),"")</f>
        <v>0.12863104492267408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5214.8504466747545</v>
      </c>
      <c r="N10" s="148">
        <f>IFERROR(SUMIFS('Employee Profile (2)'!D$4:D$50,'Employee Profile (2)'!$B$4:$B$50,Results!$D$3),"")</f>
        <v>0.42671225322598433</v>
      </c>
      <c r="O10" s="150" t="s">
        <v>621</v>
      </c>
      <c r="P10" s="143">
        <f>IFERROR(INDEX('Employee Profile (2)'!$AC$4:$AC$50,MATCH(Results!$D$3,'Employee Profile (2)'!$B$4:$B$50,0))*$Q10,"")</f>
        <v>3573.1632292930403</v>
      </c>
      <c r="Q10" s="148">
        <f>IFERROR(SUMIFS('Employee Profile (2)'!K$4:K$50,'Employee Profile (2)'!$B$4:$B$50,Results!$D$3),"")</f>
        <v>0.29237895665600527</v>
      </c>
      <c r="R10" s="150" t="s">
        <v>628</v>
      </c>
      <c r="S10" s="144">
        <f>IFERROR(INDEX('Employee Profile (2)'!$AC$4:$AC$50,MATCH(Results!$D$3,'Employee Profile (2)'!$B$4:$B$50,0))*$T10,"")</f>
        <v>3077.1526414470059</v>
      </c>
      <c r="T10" s="147">
        <f>IFERROR(SUMIFS('Employee Profile (2)'!O$4:O$50,'Employee Profile (2)'!$B$4:$B$50,Results!$D$3),"")</f>
        <v>0.25179221352156173</v>
      </c>
      <c r="U10" s="150" t="s">
        <v>633</v>
      </c>
      <c r="V10" s="144">
        <f>IFERROR(INDEX('Employee Profile (2)'!$AC$4:$AC$50,MATCH(Results!$D$3,'Employee Profile (2)'!$B$4:$B$50,0))*$W10,"")</f>
        <v>4871.1474578140505</v>
      </c>
      <c r="W10" s="147">
        <f>IFERROR(SUMIFS('Employee Profile (2)'!T$4:T$50,'Employee Profile (2)'!$B$4:$B$50,Results!$D$3),"")</f>
        <v>0.39858828719532369</v>
      </c>
      <c r="X10" s="150" t="s">
        <v>636</v>
      </c>
      <c r="Y10" s="144">
        <f>IFERROR(INDEX('Employee Profile (2)'!$AC$4:$AC$50,MATCH(Results!$D$3,'Employee Profile (2)'!$B$4:$B$50,0))*$Z10,"")</f>
        <v>947.54196536892027</v>
      </c>
      <c r="Z10" s="147">
        <f>IFERROR(SUMIFS('Employee Profile (2)'!W$4:W$50,'Employee Profile (2)'!$B$4:$B$50,Results!$D$3),"")</f>
        <v>7.7533914194331088E-2</v>
      </c>
      <c r="AA10" s="150" t="s">
        <v>676</v>
      </c>
      <c r="AB10" s="144">
        <f>IFERROR(INDEX('Employee Profile (2)'!$AC$4:$AC$50,MATCH(Results!$D$3,'Employee Profile (2)'!$B$4:$B$50))-$AB$9,"")</f>
        <v>10649</v>
      </c>
      <c r="AC10" s="147">
        <f>IFERROR(100%-$AC$9,"")</f>
        <v>0.87136895507732592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162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932.71556192787034</v>
      </c>
      <c r="N11" s="148">
        <f>IFERROR(SUMIFS('Employee Profile (2)'!E$4:E$50,'Employee Profile (2)'!$B$4:$B$50,Results!$D$3),"")</f>
        <v>7.6320723502812396E-2</v>
      </c>
      <c r="O11" s="150" t="s">
        <v>622</v>
      </c>
      <c r="P11" s="143">
        <f>IFERROR(INDEX('Employee Profile (2)'!$AC$4:$AC$50,MATCH(Results!$D$3,'Employee Profile (2)'!$B$4:$B$50,0))*$Q11,"")</f>
        <v>1276.4185507885741</v>
      </c>
      <c r="Q11" s="148">
        <f>IFERROR(SUMIFS('Employee Profile (2)'!L$4:L$50,'Employee Profile (2)'!$B$4:$B$50,Results!$D$3),"")</f>
        <v>0.10444468953347304</v>
      </c>
      <c r="R11" s="150" t="s">
        <v>629</v>
      </c>
      <c r="S11" s="144">
        <f>IFERROR(INDEX('Employee Profile (2)'!$AC$4:$AC$50,MATCH(Results!$D$3,'Employee Profile (2)'!$B$4:$B$50,0))*$T11,"")</f>
        <v>2786.0159920591154</v>
      </c>
      <c r="T11" s="147">
        <f>IFERROR(SUMIFS('Employee Profile (2)'!P$4:P$50,'Employee Profile (2)'!$B$4:$B$50,Results!$D$3),"")</f>
        <v>0.22796955994264917</v>
      </c>
      <c r="U11" s="150" t="s">
        <v>53</v>
      </c>
      <c r="V11" s="144">
        <f>IFERROR(INDEX('Employee Profile (2)'!$AC$4:$AC$50,MATCH(Results!$D$3,'Employee Profile (2)'!$B$4:$B$50,0))*$W11,"")</f>
        <v>1469.1617955222234</v>
      </c>
      <c r="W11" s="147">
        <f>IFERROR(SUMIFS('Employee Profile (2)'!U$4:U$50,'Employee Profile (2)'!$B$4:$B$50,Results!$D$3),"")</f>
        <v>0.12021616852321605</v>
      </c>
      <c r="X11" s="150" t="s">
        <v>637</v>
      </c>
      <c r="Y11" s="144">
        <f>IFERROR(INDEX('Employee Profile (2)'!$AC$4:$AC$50,MATCH(Results!$D$3,'Employee Profile (2)'!$B$4:$B$50,0))*$Z11,"")</f>
        <v>279.00595566339473</v>
      </c>
      <c r="Z11" s="147">
        <f>IFERROR(SUMIFS('Employee Profile (2)'!X$4:X$50,'Employee Profile (2)'!$B$4:$B$50,Results!$D$3),"")</f>
        <v>2.2830043013124517E-2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13</v>
      </c>
      <c r="H12" s="158">
        <v>11</v>
      </c>
      <c r="I12" s="158">
        <v>18</v>
      </c>
      <c r="J12" s="158">
        <v>52</v>
      </c>
      <c r="L12" s="150" t="s">
        <v>659</v>
      </c>
      <c r="M12" s="143">
        <f>IFERROR(INDEX('Employee Profile (2)'!$AC$4:$AC$50,MATCH(Results!$D$3,'Employee Profile (2)'!$B$4:$B$50,0))*$N12,"")</f>
        <v>624.05679938237563</v>
      </c>
      <c r="N12" s="148">
        <f>IFERROR(SUMIFS('Employee Profile (2)'!F$4:F$50,'Employee Profile (2)'!$B$4:$B$50,Results!$D$3),"")</f>
        <v>5.1064299106650488E-2</v>
      </c>
      <c r="O12" s="150" t="s">
        <v>623</v>
      </c>
      <c r="P12" s="143">
        <f>IFERROR(INDEX('Employee Profile (2)'!$AC$4:$AC$50,MATCH(Results!$D$3,'Employee Profile (2)'!$B$4:$B$50,0))*$Q12,"")</f>
        <v>552.62049189368042</v>
      </c>
      <c r="Q12" s="148">
        <f>IFERROR(SUMIFS('Employee Profile (2)'!M$4:M$50,'Employee Profile (2)'!$B$4:$B$50,Results!$D$3),"")</f>
        <v>4.5218925774787692E-2</v>
      </c>
      <c r="R12" s="150" t="s">
        <v>630</v>
      </c>
      <c r="S12" s="144">
        <f>IFERROR(INDEX('Employee Profile (2)'!$AC$4:$AC$50,MATCH(Results!$D$3,'Employee Profile (2)'!$B$4:$B$50,0))*$T12,"")</f>
        <v>95.697694937686123</v>
      </c>
      <c r="T12" s="147">
        <f>IFERROR(SUMIFS('Employee Profile (2)'!Q$4:Q$50,'Employee Profile (2)'!$B$4:$B$50,Results!$D$3),"")</f>
        <v>7.8305944634388443E-3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935.4112716444248</v>
      </c>
      <c r="Z12" s="147">
        <f>IFERROR(SUMIFS('Employee Profile (2)'!Y$4:Y$50,'Employee Profile (2)'!$B$4:$B$50,Results!$D$3),"")</f>
        <v>7.654130362854307E-2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214.30892246608579</v>
      </c>
      <c r="N13" s="148">
        <f>IFERROR(SUMIFS('Employee Profile (2)'!G$4:G$50,'Employee Profile (2)'!$B$4:$B$50,Results!$D$3),"")</f>
        <v>1.7536119995588396E-2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5896.8650049630523</v>
      </c>
      <c r="T13" s="147">
        <f>IFERROR(SUMIFS('Employee Profile (2)'!R$4:R$50,'Employee Profile (2)'!$B$4:$B$50,Results!$D$3),"")</f>
        <v>0.48251902503584426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1470.5096503805007</v>
      </c>
      <c r="Z13" s="147">
        <f>IFERROR(SUMIFS('Employee Profile (2)'!Z$4:Z$50,'Employee Profile (2)'!$B$4:$B$50,Results!$D$3),"")</f>
        <v>0.12032645858608139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16.174258299327231</v>
      </c>
      <c r="N14" s="148">
        <f>IFERROR(SUMIFS('Employee Profile (2)'!H$4:H$50,'Employee Profile (2)'!$B$4:$B$50,Results!$D$3),"")</f>
        <v>1.32348075438403E-3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175</v>
      </c>
      <c r="H15" s="112">
        <f t="shared" ref="H15:J15" si="0">SUM(H9:H14)</f>
        <v>11</v>
      </c>
      <c r="I15" s="112">
        <f t="shared" si="0"/>
        <v>18</v>
      </c>
      <c r="J15" s="112">
        <f t="shared" si="0"/>
        <v>52</v>
      </c>
      <c r="L15" s="150" t="s">
        <v>53</v>
      </c>
      <c r="M15" s="143">
        <f>IFERROR(INDEX('Employee Profile (2)'!$AC$4:$AC$50,MATCH(Results!$D$3,'Employee Profile (2)'!$B$4:$B$50,0))*$N15,"")</f>
        <v>1454.3353920811735</v>
      </c>
      <c r="N15" s="148">
        <f>IFERROR(SUMIFS('Employee Profile (2)'!I$4:I$50,'Employee Profile (2)'!$B$4:$B$50,Results!$D$3),"")</f>
        <v>0.11900297783169736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200</v>
      </c>
      <c r="H16" s="82">
        <f>SUMIFS($W$64:$W$509,$C$64:$C$509,"Total")</f>
        <v>11</v>
      </c>
      <c r="I16" s="82">
        <f>SUMIFS($AE$64:$AE$509,$C$64:$C$509,"Total")</f>
        <v>18</v>
      </c>
      <c r="J16" s="82">
        <f>SUMIFS($AM$64:$AM$509,$C$64:$C$509,"Total")</f>
        <v>52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25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1014</v>
      </c>
      <c r="G29" s="87">
        <f t="shared" ref="G29:G44" si="4">SUMIFS($K$64:$K$509,$A$64:$A$509,B29,$C$64:$C$509,"Total")</f>
        <v>321.42219428007888</v>
      </c>
      <c r="H29" s="83">
        <f t="shared" ref="H29:H44" si="5">SUMIFS($J$64:$J$509,$A$64:$A$509,B29,$C$64:$C$509,"Total")</f>
        <v>325922.10499999998</v>
      </c>
      <c r="I29" s="21">
        <f t="shared" ref="I29:I44" si="6">-SUMIFS($O$64:$O$509,$A$64:$A$509,$B29,$C$64:$C$509,"Total")+SUMIFS($N$64:$N$509,$A$64:$A$509,$B29,$C$64:$C$509,"Total")</f>
        <v>-21</v>
      </c>
      <c r="J29" s="88">
        <f t="shared" ref="J29:J44" si="7">SUMIFS($P$64:$P$509,$A$64:$A$509,$B29,$C$64:$C$509,"Total")</f>
        <v>993</v>
      </c>
      <c r="K29" s="88">
        <f t="shared" ref="K29:K44" si="8">SUMIFS($M$64:$M$509,$A$64:$A$509,$B29,$C$64:$C$509,"Total")</f>
        <v>349.60548181622943</v>
      </c>
      <c r="L29" s="88">
        <f t="shared" ref="L29:L44" si="9">SUMIFS($R$64:$R$509,$A$64:$A$509,$B29,$C$64:$C$509,"Total")+SUMIFS($Q$64:$Q$509,$A$64:$A$509,$B29,$C$64:$C$509,"Total")</f>
        <v>-5411.2561686970912</v>
      </c>
      <c r="M29" s="88">
        <f t="shared" ref="M29:M44" si="10">SUMIFS($S$64:$S$509,$A$64:$A$509,$B29,$C$64:$C$509,"Total")</f>
        <v>347158.24344351585</v>
      </c>
      <c r="N29" s="88">
        <f t="shared" ref="N29:N44" si="11">SUMIFS($S$64:$S$509,$A$64:$A$509,$B29,$C$64:$C$509,"Compensation Budget")</f>
        <v>378796</v>
      </c>
      <c r="O29" s="89">
        <f t="shared" ref="O29:O44" si="12">SUMIFS($S$64:$S$509,$A$64:$A$509,$B29,$C$64:$C$509,"Under/(Over)")</f>
        <v>31637.75655648415</v>
      </c>
      <c r="P29" s="21">
        <f t="shared" ref="P29:P44" si="13">-SUMIFS($W$64:$W$509,$A$64:$A$509,$B29,$C$64:$C$509,"Total")+SUMIFS($V$64:$V$509,$A$64:$A$509,$B29,$C$64:$C$509,"Total")</f>
        <v>-6</v>
      </c>
      <c r="Q29" s="88">
        <f t="shared" ref="Q29:Q44" si="14">SUMIFS($X$64:$X$509,$A$64:$A$509,$B29,$C$64:$C$509,"Total")</f>
        <v>987</v>
      </c>
      <c r="R29" s="88">
        <f t="shared" ref="R29:R44" si="15">SUMIFS($U$64:$U$509,$A$64:$A$509,$B29,$C$64:$C$509,"Total")</f>
        <v>377.02242734325637</v>
      </c>
      <c r="S29" s="88">
        <f t="shared" ref="S29:S44" si="16">SUMIFS($Z$64:$Z$509,$A$64:$A$509,$B29,$C$64:$C$509,"Total")+SUMIFS($Y$64:$Y$509,$A$64:$A$509,$B29,$C$64:$C$509,"Total")</f>
        <v>-3801.7697513666976</v>
      </c>
      <c r="T29" s="88">
        <f t="shared" ref="T29:T44" si="17">SUMIFS($AA$64:$AA$509,$A$64:$A$509,$B29,$C$64:$C$509,"Total")</f>
        <v>372121.13578779402</v>
      </c>
      <c r="U29" s="88">
        <f t="shared" ref="U29:U44" si="18">SUMIFS($AA$64:$AA$509,$A$64:$A$509,$B29,$C$64:$C$509,"Compensation Budget")</f>
        <v>388862</v>
      </c>
      <c r="V29" s="89">
        <f t="shared" ref="V29:V44" si="19">SUMIFS($AA$64:$AA$509,$A$64:$A$509,$B29,$C$64:$C$509,"Under/(Over)")</f>
        <v>16740.864212205983</v>
      </c>
      <c r="W29" s="21">
        <f t="shared" ref="W29:W44" si="20">-SUMIFS($AE$64:$AE$509,$A$64:$A$509,$B29,$C$64:$C$509,"Total")+SUMIFS($AD$64:$AD$509,$A$64:$A$509,$B29,$C$64:$C$509,"Total")</f>
        <v>-8</v>
      </c>
      <c r="X29" s="88">
        <f t="shared" ref="X29:X44" si="21">SUMIFS($AF$64:$AF$509,$A$64:$A$509,$B29,$C$64:$C$509,"Total")</f>
        <v>979</v>
      </c>
      <c r="Y29" s="88">
        <f t="shared" ref="Y29:Y44" si="22">SUMIFS($AC$64:$AC$509,$A$64:$A$509,$B29,$C$64:$C$509,"Total")</f>
        <v>405.31927635461892</v>
      </c>
      <c r="Z29" s="88">
        <f t="shared" ref="Z29:Z44" si="23">SUMIFS($AH$64:$AH$509,$A$64:$A$509,$B29,$C$64:$C$509,"Total")+SUMIFS($AG$64:$AG$509,$A$64:$A$509,$B29,$C$64:$C$509,"Total")</f>
        <v>-5782.9397776994447</v>
      </c>
      <c r="AA29" s="88">
        <f t="shared" ref="AA29:AA44" si="24">SUMIFS($AI$64:$AI$509,$A$64:$A$509,$B29,$C$64:$C$509,"Total")</f>
        <v>396807.57155117195</v>
      </c>
      <c r="AB29" s="88">
        <f t="shared" ref="AB29:AB44" si="25">SUMIFS($AI$64:$AI$509,$A$64:$A$509,$B29,$C$64:$C$509,"Compensation Budget")</f>
        <v>407559</v>
      </c>
      <c r="AC29" s="89">
        <f t="shared" ref="AC29:AC44" si="26">SUMIFS($AI$64:$AI$509,$A$64:$A$509,$B29,$C$64:$C$509,"Under/(Over)")</f>
        <v>10751.428448828054</v>
      </c>
      <c r="AD29" s="21">
        <f t="shared" ref="AD29:AD44" si="27">-SUMIFS($AM$64:$AM$509,$A$64:$A$509,$B29,$C$64:$C$509,"Total")+SUMIFS($AL$64:$AL$509,$A$64:$A$509,$B29,$C$64:$C$509,"Total")</f>
        <v>-25</v>
      </c>
      <c r="AE29" s="88">
        <f t="shared" ref="AE29:AE44" si="28">SUMIFS($AN$64:$AN$509,$A$64:$A$509,$B29,$C$64:$C$509,"Total")</f>
        <v>954</v>
      </c>
      <c r="AF29" s="88">
        <f t="shared" ref="AF29:AF44" si="29">SUMIFS($AK$64:$AK$509,$A$64:$A$509,$B29,$C$64:$C$509,"Total")</f>
        <v>432.89918097165838</v>
      </c>
      <c r="AG29" s="88">
        <f t="shared" ref="AG29:AG44" si="30">SUMIFS($AP$64:$AP$509,$A$64:$A$509,$B29,$C$64:$C$509,"Total")+SUMIFS($AO$64:$AO$509,$A$64:$A$509,$B29,$C$64:$C$509,"Total")</f>
        <v>-15531.832702186435</v>
      </c>
      <c r="AH29" s="88">
        <f t="shared" ref="AH29:AH44" si="31">SUMIFS($AQ$64:$AQ$509,$A$64:$A$509,$B29,$C$64:$C$509,"Total")</f>
        <v>412985.81864696211</v>
      </c>
      <c r="AI29" s="88">
        <f t="shared" ref="AI29:AI44" si="32">SUMIFS($AQ$64:$AQ$509,$A$64:$A$509,$B29,$C$64:$C$509,"Compensation Budget")</f>
        <v>438533.48400000005</v>
      </c>
      <c r="AJ29" s="89">
        <f t="shared" ref="AJ29:AJ44" si="33">SUMIFS($AQ$64:$AQ$509,$A$64:$A$509,$B29,$C$64:$C$509,"Under/(Over)")</f>
        <v>25547.665353037941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Inspection and Enforcement Services</v>
      </c>
      <c r="D30" s="222">
        <f t="shared" si="2"/>
        <v>0</v>
      </c>
      <c r="E30" s="223">
        <f t="shared" si="2"/>
        <v>0</v>
      </c>
      <c r="F30" s="80">
        <f t="shared" si="3"/>
        <v>1205</v>
      </c>
      <c r="G30" s="155">
        <f t="shared" si="4"/>
        <v>311.92238453941911</v>
      </c>
      <c r="H30" s="155">
        <f t="shared" si="5"/>
        <v>375866.47337000002</v>
      </c>
      <c r="I30" s="23">
        <f t="shared" si="6"/>
        <v>-7</v>
      </c>
      <c r="J30" s="22">
        <f t="shared" si="7"/>
        <v>1198</v>
      </c>
      <c r="K30" s="22">
        <f t="shared" si="8"/>
        <v>336.90783950354319</v>
      </c>
      <c r="L30" s="22">
        <f t="shared" si="9"/>
        <v>-4903.8126507969064</v>
      </c>
      <c r="M30" s="22">
        <f t="shared" si="10"/>
        <v>403615.59172524471</v>
      </c>
      <c r="N30" s="22">
        <f t="shared" si="11"/>
        <v>416655</v>
      </c>
      <c r="O30" s="91">
        <f t="shared" si="12"/>
        <v>13039.408274755289</v>
      </c>
      <c r="P30" s="23">
        <f t="shared" si="13"/>
        <v>41</v>
      </c>
      <c r="Q30" s="22">
        <f t="shared" si="14"/>
        <v>1239</v>
      </c>
      <c r="R30" s="22">
        <f t="shared" si="15"/>
        <v>367.48248531586574</v>
      </c>
      <c r="S30" s="22">
        <f t="shared" si="16"/>
        <v>17548.821460794588</v>
      </c>
      <c r="T30" s="22">
        <f t="shared" si="17"/>
        <v>455310.79930635763</v>
      </c>
      <c r="U30" s="22">
        <f t="shared" si="18"/>
        <v>424316</v>
      </c>
      <c r="V30" s="91">
        <f t="shared" si="19"/>
        <v>-30994.799306357629</v>
      </c>
      <c r="W30" s="23">
        <f t="shared" si="20"/>
        <v>-6</v>
      </c>
      <c r="X30" s="22">
        <f t="shared" si="21"/>
        <v>1233</v>
      </c>
      <c r="Y30" s="22">
        <f t="shared" si="22"/>
        <v>398.08523642372921</v>
      </c>
      <c r="Z30" s="22">
        <f t="shared" si="23"/>
        <v>-2540.8564849710447</v>
      </c>
      <c r="AA30" s="22">
        <f t="shared" si="24"/>
        <v>490839.0965104581</v>
      </c>
      <c r="AB30" s="22">
        <f t="shared" si="25"/>
        <v>469704</v>
      </c>
      <c r="AC30" s="91">
        <f t="shared" si="26"/>
        <v>-21135.096510458097</v>
      </c>
      <c r="AD30" s="23">
        <f t="shared" si="27"/>
        <v>-20</v>
      </c>
      <c r="AE30" s="22">
        <f t="shared" si="28"/>
        <v>1213</v>
      </c>
      <c r="AF30" s="22">
        <f t="shared" si="29"/>
        <v>429.84130564051645</v>
      </c>
      <c r="AG30" s="22">
        <f t="shared" si="30"/>
        <v>-9486.5872710868243</v>
      </c>
      <c r="AH30" s="22">
        <f t="shared" si="31"/>
        <v>521397.50374194648</v>
      </c>
      <c r="AI30" s="22">
        <f t="shared" si="32"/>
        <v>505401.50400000002</v>
      </c>
      <c r="AJ30" s="91">
        <f t="shared" si="33"/>
        <v>-15995.999741946463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Public Employment Services</v>
      </c>
      <c r="D31" s="222">
        <f t="shared" si="2"/>
        <v>0</v>
      </c>
      <c r="E31" s="223">
        <f t="shared" si="2"/>
        <v>0</v>
      </c>
      <c r="F31" s="80">
        <f t="shared" si="3"/>
        <v>697</v>
      </c>
      <c r="G31" s="155">
        <f t="shared" si="4"/>
        <v>352.55093256814922</v>
      </c>
      <c r="H31" s="155">
        <f t="shared" si="5"/>
        <v>245728</v>
      </c>
      <c r="I31" s="23">
        <f t="shared" si="6"/>
        <v>39</v>
      </c>
      <c r="J31" s="22">
        <f t="shared" si="7"/>
        <v>736</v>
      </c>
      <c r="K31" s="22">
        <f t="shared" si="8"/>
        <v>386.04216912072945</v>
      </c>
      <c r="L31" s="22">
        <f t="shared" si="9"/>
        <v>16917.923042328835</v>
      </c>
      <c r="M31" s="22">
        <f t="shared" si="10"/>
        <v>284127.03647285688</v>
      </c>
      <c r="N31" s="22">
        <f t="shared" si="11"/>
        <v>252442</v>
      </c>
      <c r="O31" s="91">
        <f t="shared" si="12"/>
        <v>-31685.036472856882</v>
      </c>
      <c r="P31" s="23">
        <f t="shared" si="13"/>
        <v>-2</v>
      </c>
      <c r="Q31" s="22">
        <f t="shared" si="14"/>
        <v>734</v>
      </c>
      <c r="R31" s="22">
        <f t="shared" si="15"/>
        <v>418.33105404742372</v>
      </c>
      <c r="S31" s="22">
        <f t="shared" si="16"/>
        <v>-1157.6755015892368</v>
      </c>
      <c r="T31" s="22">
        <f t="shared" si="17"/>
        <v>307054.99367080902</v>
      </c>
      <c r="U31" s="22">
        <f t="shared" si="18"/>
        <v>299092</v>
      </c>
      <c r="V31" s="91">
        <f t="shared" si="19"/>
        <v>-7962.9936708090245</v>
      </c>
      <c r="W31" s="23">
        <f t="shared" si="20"/>
        <v>-1</v>
      </c>
      <c r="X31" s="22">
        <f t="shared" si="21"/>
        <v>733</v>
      </c>
      <c r="Y31" s="22">
        <f t="shared" si="22"/>
        <v>452.85729676017661</v>
      </c>
      <c r="Z31" s="22">
        <f t="shared" si="23"/>
        <v>-828.91924955535364</v>
      </c>
      <c r="AA31" s="22">
        <f t="shared" si="24"/>
        <v>331944.39852520946</v>
      </c>
      <c r="AB31" s="22">
        <f t="shared" si="25"/>
        <v>302761</v>
      </c>
      <c r="AC31" s="91">
        <f t="shared" si="26"/>
        <v>-29183.398525209457</v>
      </c>
      <c r="AD31" s="23">
        <f t="shared" si="27"/>
        <v>-5</v>
      </c>
      <c r="AE31" s="22">
        <f t="shared" si="28"/>
        <v>728</v>
      </c>
      <c r="AF31" s="22">
        <f t="shared" si="29"/>
        <v>489.15288090505038</v>
      </c>
      <c r="AG31" s="22">
        <f t="shared" si="30"/>
        <v>-2971.5529464719066</v>
      </c>
      <c r="AH31" s="22">
        <f t="shared" si="31"/>
        <v>356103.29729887669</v>
      </c>
      <c r="AI31" s="22">
        <f t="shared" si="32"/>
        <v>325770.83600000001</v>
      </c>
      <c r="AJ31" s="91">
        <f t="shared" si="33"/>
        <v>-30332.461298876675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Labour Policy and Industrial Relations</v>
      </c>
      <c r="D32" s="222">
        <f t="shared" si="2"/>
        <v>0</v>
      </c>
      <c r="E32" s="223">
        <f t="shared" si="2"/>
        <v>0</v>
      </c>
      <c r="F32" s="80">
        <f t="shared" si="3"/>
        <v>165</v>
      </c>
      <c r="G32" s="155">
        <f t="shared" si="4"/>
        <v>473.32727272727271</v>
      </c>
      <c r="H32" s="155">
        <f t="shared" si="5"/>
        <v>78099</v>
      </c>
      <c r="I32" s="23">
        <f t="shared" si="6"/>
        <v>2</v>
      </c>
      <c r="J32" s="22">
        <f t="shared" si="7"/>
        <v>167</v>
      </c>
      <c r="K32" s="22">
        <f t="shared" si="8"/>
        <v>514.89269560425168</v>
      </c>
      <c r="L32" s="22">
        <f t="shared" si="9"/>
        <v>1332.5720844715604</v>
      </c>
      <c r="M32" s="22">
        <f t="shared" si="10"/>
        <v>85987.080165910025</v>
      </c>
      <c r="N32" s="22">
        <f t="shared" si="11"/>
        <v>84346</v>
      </c>
      <c r="O32" s="91">
        <f t="shared" si="12"/>
        <v>-1641.0801659100252</v>
      </c>
      <c r="P32" s="23">
        <f t="shared" si="13"/>
        <v>0</v>
      </c>
      <c r="Q32" s="22">
        <f t="shared" si="14"/>
        <v>167</v>
      </c>
      <c r="R32" s="22">
        <f t="shared" si="15"/>
        <v>559.95643548547457</v>
      </c>
      <c r="S32" s="22">
        <f t="shared" si="16"/>
        <v>313.81245693804635</v>
      </c>
      <c r="T32" s="22">
        <f t="shared" si="17"/>
        <v>93512.724726074244</v>
      </c>
      <c r="U32" s="22">
        <f t="shared" si="18"/>
        <v>109217</v>
      </c>
      <c r="V32" s="91">
        <f t="shared" si="19"/>
        <v>15704.275273925756</v>
      </c>
      <c r="W32" s="23">
        <f t="shared" si="20"/>
        <v>-3</v>
      </c>
      <c r="X32" s="22">
        <f t="shared" si="21"/>
        <v>164</v>
      </c>
      <c r="Y32" s="22">
        <f t="shared" si="22"/>
        <v>602.22870501315754</v>
      </c>
      <c r="Z32" s="22">
        <f t="shared" si="23"/>
        <v>-2485.9354370354786</v>
      </c>
      <c r="AA32" s="22">
        <f t="shared" si="24"/>
        <v>98765.507622157835</v>
      </c>
      <c r="AB32" s="22">
        <f t="shared" si="25"/>
        <v>127891</v>
      </c>
      <c r="AC32" s="91">
        <f t="shared" si="26"/>
        <v>29125.492377842165</v>
      </c>
      <c r="AD32" s="23">
        <f t="shared" si="27"/>
        <v>-2</v>
      </c>
      <c r="AE32" s="22">
        <f t="shared" si="28"/>
        <v>162</v>
      </c>
      <c r="AF32" s="22">
        <f t="shared" si="29"/>
        <v>650.7252297995326</v>
      </c>
      <c r="AG32" s="22">
        <f t="shared" si="30"/>
        <v>-1317.4516005263647</v>
      </c>
      <c r="AH32" s="22">
        <f t="shared" si="31"/>
        <v>105417.48722752428</v>
      </c>
      <c r="AI32" s="22">
        <f t="shared" si="32"/>
        <v>137610.71600000001</v>
      </c>
      <c r="AJ32" s="91">
        <f t="shared" si="33"/>
        <v>32193.228772475733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3081</v>
      </c>
      <c r="G45" s="92">
        <f>IFERROR(H45/F45,0)</f>
        <v>332.88399168127233</v>
      </c>
      <c r="H45" s="92">
        <f>SUM(H29:H38)</f>
        <v>1025615.57837</v>
      </c>
      <c r="I45" s="25">
        <f>SUM(I29:I38)</f>
        <v>13</v>
      </c>
      <c r="J45" s="92">
        <f>SUM(J29:J38)</f>
        <v>3094</v>
      </c>
      <c r="K45" s="92">
        <f>IFERROR(M45/J45,0)</f>
        <v>362.27794176067465</v>
      </c>
      <c r="L45" s="92">
        <f t="shared" ref="L45:Q45" si="34">SUM(L29:L38)</f>
        <v>7935.4263073063985</v>
      </c>
      <c r="M45" s="92">
        <f t="shared" si="34"/>
        <v>1120887.9518075273</v>
      </c>
      <c r="N45" s="92">
        <f>INDEX('ENE17'!$C$2:$C$48,MATCH(Results!$D$3,'ENE17'!$A$2:$A$48,0))</f>
        <v>1107970</v>
      </c>
      <c r="O45" s="129">
        <f>N45-M45</f>
        <v>-12917.951807527337</v>
      </c>
      <c r="P45" s="25">
        <f t="shared" si="34"/>
        <v>33</v>
      </c>
      <c r="Q45" s="24">
        <f t="shared" si="34"/>
        <v>3127</v>
      </c>
      <c r="R45" s="92">
        <f>IFERROR(T45/Q45,0)</f>
        <v>392.7085556415206</v>
      </c>
      <c r="S45" s="24">
        <f>SUM(S29:S38)</f>
        <v>12903.188664776701</v>
      </c>
      <c r="T45" s="24">
        <f>SUM(T29:T38)</f>
        <v>1227999.6534910349</v>
      </c>
      <c r="U45" s="207">
        <f>INDEX('ENE17'!$D$2:$D$48,MATCH(Results!$D$3,'ENE17'!$A$2:$A$48,0))</f>
        <v>1224502</v>
      </c>
      <c r="V45" s="24">
        <f>U45-T45</f>
        <v>-3497.653491034871</v>
      </c>
      <c r="W45" s="25">
        <f t="shared" ref="W45:X45" si="35">SUM(W29:W38)</f>
        <v>-18</v>
      </c>
      <c r="X45" s="24">
        <f t="shared" si="35"/>
        <v>3109</v>
      </c>
      <c r="Y45" s="92">
        <f>IFERROR(AA45/X45,0)</f>
        <v>424.04521524895381</v>
      </c>
      <c r="Z45" s="24">
        <f t="shared" ref="Z45:AA45" si="36">SUM(Z29:Z38)</f>
        <v>-11638.650949261322</v>
      </c>
      <c r="AA45" s="24">
        <f t="shared" si="36"/>
        <v>1318356.5742089974</v>
      </c>
      <c r="AB45" s="207">
        <f>INDEX('ENE17'!$E$2:$E$48,MATCH(Results!$D$3,'ENE17'!$A$2:$A$48,0))</f>
        <v>1317790</v>
      </c>
      <c r="AC45" s="24">
        <f>AB45-AA45</f>
        <v>-566.57420899742283</v>
      </c>
      <c r="AD45" s="25">
        <f t="shared" ref="AD45:AE45" si="37">SUM(AD29:AD38)</f>
        <v>-52</v>
      </c>
      <c r="AE45" s="24">
        <f t="shared" si="37"/>
        <v>3057</v>
      </c>
      <c r="AF45" s="92">
        <f>IFERROR(AH45/AE45,0)</f>
        <v>456.62548476130507</v>
      </c>
      <c r="AG45" s="24">
        <f t="shared" ref="AG45:AH45" si="38">SUM(AG29:AG38)</f>
        <v>-29307.424520271532</v>
      </c>
      <c r="AH45" s="24">
        <f t="shared" si="38"/>
        <v>1395904.1069153096</v>
      </c>
      <c r="AI45" s="207">
        <f>INDEX('ENE17'!$F$2:$F$48,MATCH(Results!$D$3,'ENE17'!$A$2:$A$48,0))</f>
        <v>1410207</v>
      </c>
      <c r="AJ45" s="24">
        <f>AI45-AH45</f>
        <v>14302.89308469044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1460</v>
      </c>
      <c r="G51" s="193">
        <f>IFERROR(H51/F51,"")</f>
        <v>215.1209440890411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314076.57837</v>
      </c>
      <c r="I51" s="97">
        <f>SUMIFS($N$64:$N$509,$B$64:$B$509,$B51)-SUMIFS($O$64:$O$509,$B$64:$B$509,$B51)</f>
        <v>0</v>
      </c>
      <c r="J51" s="80">
        <f>SUMIFS($P$64:$P$509,$B$64:$B$509,$B51)</f>
        <v>1460</v>
      </c>
      <c r="K51" s="80">
        <f>IFERROR(M51/J51,0)</f>
        <v>233.92430896110199</v>
      </c>
      <c r="L51" s="80">
        <f>SUMIFS($R$64:$R$509,$B$64:$B$509,$B51)+SUMIFS($Q$64:$Q$509,$B$64:$B$509,$B51)</f>
        <v>173.89400616576677</v>
      </c>
      <c r="M51" s="98">
        <f>SUMIFS($S$64:$S$509,$B$64:$B$509,$B51)</f>
        <v>341529.49108320888</v>
      </c>
      <c r="N51" s="80">
        <f>SUMIFS($V$64:$V$509,$B$64:$B$509,$B51)-SUMIFS($W$64:$W$509,$B$64:$B$509,$B51)</f>
        <v>-2</v>
      </c>
      <c r="O51" s="80">
        <f>SUMIFS($X$64:$X$509,$B$64:$B$509,$B51)</f>
        <v>1458</v>
      </c>
      <c r="P51" s="80">
        <f>IFERROR(R51/O51,0)</f>
        <v>253.76052688179863</v>
      </c>
      <c r="Q51" s="80">
        <f>SUMIFS($Z$64:$Z$509,$B$64:$B$509,$B51)+SUMIFS($Y$64:$Y$509,$B$64:$B$509,$B51)</f>
        <v>-423.43182968395399</v>
      </c>
      <c r="R51" s="80">
        <f>SUMIFS($AA$64:$AA$509,$B$64:$B$509,$B51)</f>
        <v>369982.84819366242</v>
      </c>
      <c r="S51" s="97">
        <f>SUMIFS($AD$64:$AD$509,$B$64:$B$509,$B51)-SUMIFS($AE$64:$AE$509,$B$64:$B$509,$B51)</f>
        <v>-4</v>
      </c>
      <c r="T51" s="80">
        <f>SUMIFS($AF$64:$AF$509,$B$64:$B$509,$B51)</f>
        <v>1454</v>
      </c>
      <c r="U51" s="80">
        <f>IFERROR(W51/T51,0)</f>
        <v>274.9720587259863</v>
      </c>
      <c r="V51" s="80">
        <f>SUMIFS($AH$64:$AH$509,$B$64:$B$509,$B51)+SUMIFS($AG$64:$AG$509,$B$64:$B$509,$B51)</f>
        <v>-1081.2359511237453</v>
      </c>
      <c r="W51" s="98">
        <f>SUMIFS($AI$64:$AI$509,$B$64:$B$509,$B51)</f>
        <v>399809.37338758411</v>
      </c>
      <c r="X51" s="80">
        <f>SUMIFS($AL$64:$AL$509,$B$64:$B$509,$B51)-SUMIFS($AM$64:$AM$509,$B$64:$B$509,$B51)</f>
        <v>-11</v>
      </c>
      <c r="Y51" s="80">
        <f>SUMIFS($AN$64:$AN$509,$B$64:$B$509,$B51)</f>
        <v>1443</v>
      </c>
      <c r="Z51" s="80">
        <f>IFERROR(AB51/Y51,0)</f>
        <v>297.49097952026847</v>
      </c>
      <c r="AA51" s="80">
        <f>SUMIFS($AP$64:$AP$509,$B$64:$B$509,$B51)+SUMIFS($AO$64:$AO$509,$B$64:$B$509,$B51)</f>
        <v>-3119.1680598518487</v>
      </c>
      <c r="AB51" s="98">
        <f>SUMIFS($AQ$64:$AQ$509,$B$64:$B$509,$B51)</f>
        <v>429279.48344774742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1297</v>
      </c>
      <c r="G52" s="192">
        <f t="shared" ref="G52:G55" si="40">IFERROR(H52/F52,"")</f>
        <v>362.96530454895912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470766</v>
      </c>
      <c r="I52" s="97">
        <f>SUMIFS($N$64:$N$509,$B$64:$B$509,$B52)-SUMIFS($O$64:$O$509,$B$64:$B$509,$B52)</f>
        <v>12</v>
      </c>
      <c r="J52" s="80">
        <f>SUMIFS($P$64:$P$509,$B$64:$B$509,$B52)</f>
        <v>1309</v>
      </c>
      <c r="K52" s="80">
        <f t="shared" ref="K52:K56" si="41">IFERROR(M52/J52,0)</f>
        <v>396.96418706011508</v>
      </c>
      <c r="L52" s="80">
        <f>SUMIFS($R$64:$R$509,$B$64:$B$509,$B52)+SUMIFS($Q$64:$Q$509,$B$64:$B$509,$B52)</f>
        <v>6935.2090934187436</v>
      </c>
      <c r="M52" s="98">
        <f>SUMIFS($S$64:$S$509,$B$64:$B$509,$B52)</f>
        <v>519626.12086169061</v>
      </c>
      <c r="N52" s="80">
        <f>SUMIFS($V$64:$V$509,$B$64:$B$509,$B52)-SUMIFS($W$64:$W$509,$B$64:$B$509,$B52)</f>
        <v>39</v>
      </c>
      <c r="O52" s="80">
        <f>SUMIFS($X$64:$X$509,$B$64:$B$509,$B52)</f>
        <v>1348</v>
      </c>
      <c r="P52" s="80">
        <f t="shared" ref="P52:P55" si="42">IFERROR(R52/O52,0)</f>
        <v>430.7842422289591</v>
      </c>
      <c r="Q52" s="80">
        <f>SUMIFS($Z$64:$Z$509,$B$64:$B$509,$B52)+SUMIFS($Y$64:$Y$509,$B$64:$B$509,$B52)</f>
        <v>16811.392970048746</v>
      </c>
      <c r="R52" s="80">
        <f>SUMIFS($AA$64:$AA$509,$B$64:$B$509,$B52)</f>
        <v>580697.15852463688</v>
      </c>
      <c r="S52" s="97">
        <f>SUMIFS($AD$64:$AD$509,$B$64:$B$509,$B52)-SUMIFS($AE$64:$AE$509,$B$64:$B$509,$B52)</f>
        <v>-6</v>
      </c>
      <c r="T52" s="80">
        <f>SUMIFS($AF$64:$AF$509,$B$64:$B$509,$B52)</f>
        <v>1342</v>
      </c>
      <c r="U52" s="80">
        <f t="shared" ref="U52:U55" si="43">IFERROR(W52/T52,0)</f>
        <v>467.18500579672593</v>
      </c>
      <c r="V52" s="80">
        <f>SUMIFS($AH$64:$AH$509,$B$64:$B$509,$B52)+SUMIFS($AG$64:$AG$509,$B$64:$B$509,$B52)</f>
        <v>-2607.0073831292839</v>
      </c>
      <c r="W52" s="98">
        <f>SUMIFS($AI$64:$AI$509,$B$64:$B$509,$B52)</f>
        <v>626962.27777920617</v>
      </c>
      <c r="X52" s="80">
        <f>SUMIFS($AL$64:$AL$509,$B$64:$B$509,$B52)-SUMIFS($AM$64:$AM$509,$B$64:$B$509,$B52)</f>
        <v>-31</v>
      </c>
      <c r="Y52" s="80">
        <f>SUMIFS($AN$64:$AN$509,$B$64:$B$509,$B52)</f>
        <v>1311</v>
      </c>
      <c r="Z52" s="80">
        <f t="shared" ref="Z52:Z55" si="44">IFERROR(AB52/Y52,0)</f>
        <v>505.6161129025694</v>
      </c>
      <c r="AA52" s="80">
        <f>SUMIFS($AP$64:$AP$509,$B$64:$B$509,$B52)+SUMIFS($AO$64:$AO$509,$B$64:$B$509,$B52)</f>
        <v>-15594.295828316966</v>
      </c>
      <c r="AB52" s="98">
        <f>SUMIFS($AQ$64:$AQ$509,$B$64:$B$509,$B52)</f>
        <v>662862.7240152685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237</v>
      </c>
      <c r="G53" s="192">
        <f t="shared" si="40"/>
        <v>655.99578059071735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155471</v>
      </c>
      <c r="I53" s="97">
        <f>SUMIFS($N$64:$N$509,$B$64:$B$509,$B53)-SUMIFS($O$64:$O$509,$B$64:$B$509,$B53)</f>
        <v>-1</v>
      </c>
      <c r="J53" s="80">
        <f>SUMIFS($P$64:$P$509,$B$64:$B$509,$B53)</f>
        <v>236</v>
      </c>
      <c r="K53" s="80">
        <f t="shared" si="41"/>
        <v>713.64716402941815</v>
      </c>
      <c r="L53" s="80">
        <f>SUMIFS($R$64:$R$509,$B$64:$B$509,$B53)+SUMIFS($Q$64:$Q$509,$B$64:$B$509,$B53)</f>
        <v>-1313.6693744358463</v>
      </c>
      <c r="M53" s="98">
        <f>SUMIFS($S$64:$S$509,$B$64:$B$509,$B53)</f>
        <v>168420.73071094268</v>
      </c>
      <c r="N53" s="80">
        <f>SUMIFS($V$64:$V$509,$B$64:$B$509,$B53)-SUMIFS($W$64:$W$509,$B$64:$B$509,$B53)</f>
        <v>-4</v>
      </c>
      <c r="O53" s="80">
        <f>SUMIFS($X$64:$X$509,$B$64:$B$509,$B53)</f>
        <v>232</v>
      </c>
      <c r="P53" s="80">
        <f t="shared" si="42"/>
        <v>773.5783315081926</v>
      </c>
      <c r="Q53" s="80">
        <f>SUMIFS($Z$64:$Z$509,$B$64:$B$509,$B53)+SUMIFS($Y$64:$Y$509,$B$64:$B$509,$B53)</f>
        <v>-3376.2088074986209</v>
      </c>
      <c r="R53" s="80">
        <f>SUMIFS($AA$64:$AA$509,$B$64:$B$509,$B53)</f>
        <v>179470.17290990069</v>
      </c>
      <c r="S53" s="97">
        <f>SUMIFS($AD$64:$AD$509,$B$64:$B$509,$B53)-SUMIFS($AE$64:$AE$509,$B$64:$B$509,$B53)</f>
        <v>-6</v>
      </c>
      <c r="T53" s="80">
        <f>SUMIFS($AF$64:$AF$509,$B$64:$B$509,$B53)</f>
        <v>226</v>
      </c>
      <c r="U53" s="80">
        <f t="shared" si="43"/>
        <v>837.78959589599901</v>
      </c>
      <c r="V53" s="80">
        <f>SUMIFS($AH$64:$AH$509,$B$64:$B$509,$B53)+SUMIFS($AG$64:$AG$509,$B$64:$B$509,$B53)</f>
        <v>-5319.473365806909</v>
      </c>
      <c r="W53" s="98">
        <f>SUMIFS($AI$64:$AI$509,$B$64:$B$509,$B53)</f>
        <v>189340.44867249578</v>
      </c>
      <c r="X53" s="80">
        <f>SUMIFS($AL$64:$AL$509,$B$64:$B$509,$B53)-SUMIFS($AM$64:$AM$509,$B$64:$B$509,$B53)</f>
        <v>-9</v>
      </c>
      <c r="Y53" s="80">
        <f>SUMIFS($AN$64:$AN$509,$B$64:$B$509,$B53)</f>
        <v>217</v>
      </c>
      <c r="Z53" s="80">
        <f t="shared" si="44"/>
        <v>902.09519131353431</v>
      </c>
      <c r="AA53" s="80">
        <f>SUMIFS($AP$64:$AP$509,$B$64:$B$509,$B53)+SUMIFS($AO$64:$AO$509,$B$64:$B$509,$B53)</f>
        <v>-9226.3767550574084</v>
      </c>
      <c r="AB53" s="98">
        <f>SUMIFS($AQ$64:$AQ$509,$B$64:$B$509,$B53)</f>
        <v>195754.65651503694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66</v>
      </c>
      <c r="G54" s="192">
        <f t="shared" si="40"/>
        <v>1053.8030303030303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69551</v>
      </c>
      <c r="I54" s="97">
        <f>SUMIFS($N$64:$N$509,$B$64:$B$509,$B54)-SUMIFS($O$64:$O$509,$B$64:$B$509,$B54)</f>
        <v>2</v>
      </c>
      <c r="J54" s="80">
        <f>SUMIFS($P$64:$P$509,$B$64:$B$509,$B54)</f>
        <v>68</v>
      </c>
      <c r="K54" s="80">
        <f t="shared" si="41"/>
        <v>1103.5415610541959</v>
      </c>
      <c r="L54" s="80">
        <f>SUMIFS($R$64:$R$509,$B$64:$B$509,$B54)+SUMIFS($Q$64:$Q$509,$B$64:$B$509,$B54)</f>
        <v>2139.9925821577335</v>
      </c>
      <c r="M54" s="98">
        <f>SUMIFS($S$64:$S$509,$B$64:$B$509,$B54)</f>
        <v>75040.826151685324</v>
      </c>
      <c r="N54" s="80">
        <f>SUMIFS($V$64:$V$509,$B$64:$B$509,$B54)-SUMIFS($W$64:$W$509,$B$64:$B$509,$B54)</f>
        <v>0</v>
      </c>
      <c r="O54" s="80">
        <f>SUMIFS($X$64:$X$509,$B$64:$B$509,$B54)</f>
        <v>68</v>
      </c>
      <c r="P54" s="80">
        <f t="shared" si="42"/>
        <v>1185.3300571005159</v>
      </c>
      <c r="Q54" s="80">
        <f>SUMIFS($Z$64:$Z$509,$B$64:$B$509,$B54)+SUMIFS($Y$64:$Y$509,$B$64:$B$509,$B54)</f>
        <v>-108.56366808947132</v>
      </c>
      <c r="R54" s="80">
        <f>SUMIFS($AA$64:$AA$509,$B$64:$B$509,$B54)</f>
        <v>80602.443882835083</v>
      </c>
      <c r="S54" s="97">
        <f>SUMIFS($AD$64:$AD$509,$B$64:$B$509,$B54)-SUMIFS($AE$64:$AE$509,$B$64:$B$509,$B54)</f>
        <v>-2</v>
      </c>
      <c r="T54" s="80">
        <f>SUMIFS($AF$64:$AF$509,$B$64:$B$509,$B54)</f>
        <v>66</v>
      </c>
      <c r="U54" s="80">
        <f t="shared" si="43"/>
        <v>1272.4222669832018</v>
      </c>
      <c r="V54" s="80">
        <f>SUMIFS($AH$64:$AH$509,$B$64:$B$509,$B54)+SUMIFS($AG$64:$AG$509,$B$64:$B$509,$B54)</f>
        <v>-2630.9342492013825</v>
      </c>
      <c r="W54" s="98">
        <f>SUMIFS($AI$64:$AI$509,$B$64:$B$509,$B54)</f>
        <v>83979.869620891317</v>
      </c>
      <c r="X54" s="80">
        <f>SUMIFS($AL$64:$AL$509,$B$64:$B$509,$B54)-SUMIFS($AM$64:$AM$509,$B$64:$B$509,$B54)</f>
        <v>-1</v>
      </c>
      <c r="Y54" s="80">
        <f>SUMIFS($AN$64:$AN$509,$B$64:$B$509,$B54)</f>
        <v>65</v>
      </c>
      <c r="Z54" s="80">
        <f t="shared" si="44"/>
        <v>1364.6393187346757</v>
      </c>
      <c r="AA54" s="80">
        <f>SUMIFS($AP$64:$AP$509,$B$64:$B$509,$B54)+SUMIFS($AO$64:$AO$509,$B$64:$B$509,$B54)</f>
        <v>-1367.5838770453081</v>
      </c>
      <c r="AB54" s="98">
        <f>SUMIFS($AQ$64:$AQ$509,$B$64:$B$509,$B54)</f>
        <v>88701.555717753916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21</v>
      </c>
      <c r="G55" s="192">
        <f t="shared" si="40"/>
        <v>750.04761904761904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15751</v>
      </c>
      <c r="I55" s="101">
        <f>SUMIFS($N$64:$N$509,$B$64:$B$509,$B55)-SUMIFS($O$64:$O$509,$B$64:$B$509,$B55)</f>
        <v>0</v>
      </c>
      <c r="J55" s="102">
        <f>SUMIFS($P$64:$P$509,$B$64:$B$509,$B55)</f>
        <v>21</v>
      </c>
      <c r="K55" s="102">
        <f t="shared" si="41"/>
        <v>774.79919047619035</v>
      </c>
      <c r="L55" s="102">
        <f>SUMIFS($R$64:$R$509,$B$64:$B$509,$B55)+SUMIFS($Q$64:$Q$509,$B$64:$B$509,$B55)</f>
        <v>0</v>
      </c>
      <c r="M55" s="103">
        <f>SUMIFS($S$64:$S$509,$B$64:$B$509,$B55)</f>
        <v>16270.782999999998</v>
      </c>
      <c r="N55" s="80">
        <f>SUMIFS($V$64:$V$509,$B$64:$B$509,$B55)-SUMIFS($W$64:$W$509,$B$64:$B$509,$B55)</f>
        <v>0</v>
      </c>
      <c r="O55" s="80">
        <f>SUMIFS($X$64:$X$509,$B$64:$B$509,$B55)</f>
        <v>21</v>
      </c>
      <c r="P55" s="80">
        <f t="shared" si="42"/>
        <v>821.28714190476182</v>
      </c>
      <c r="Q55" s="80">
        <f>SUMIFS($Z$64:$Z$509,$B$64:$B$509,$B55)+SUMIFS($Y$64:$Y$509,$B$64:$B$509,$B55)</f>
        <v>0</v>
      </c>
      <c r="R55" s="80">
        <f>SUMIFS($AA$64:$AA$509,$B$64:$B$509,$B55)</f>
        <v>17247.029979999999</v>
      </c>
      <c r="S55" s="101">
        <f>SUMIFS($AD$64:$AD$509,$B$64:$B$509,$B55)-SUMIFS($AE$64:$AE$509,$B$64:$B$509,$B55)</f>
        <v>0</v>
      </c>
      <c r="T55" s="102">
        <f>SUMIFS($AF$64:$AF$509,$B$64:$B$509,$B55)</f>
        <v>21</v>
      </c>
      <c r="U55" s="102">
        <f t="shared" si="43"/>
        <v>869.74308327714277</v>
      </c>
      <c r="V55" s="102">
        <f>SUMIFS($AH$64:$AH$509,$B$64:$B$509,$B55)+SUMIFS($AG$64:$AG$509,$B$64:$B$509,$B55)</f>
        <v>0</v>
      </c>
      <c r="W55" s="103">
        <f>SUMIFS($AI$64:$AI$509,$B$64:$B$509,$B55)</f>
        <v>18264.604748819998</v>
      </c>
      <c r="X55" s="80">
        <f>SUMIFS($AL$64:$AL$509,$B$64:$B$509,$B55)-SUMIFS($AM$64:$AM$509,$B$64:$B$509,$B55)</f>
        <v>0</v>
      </c>
      <c r="Y55" s="80">
        <f>SUMIFS($AN$64:$AN$509,$B$64:$B$509,$B55)</f>
        <v>21</v>
      </c>
      <c r="Z55" s="80">
        <f t="shared" si="44"/>
        <v>919.31843902393973</v>
      </c>
      <c r="AA55" s="80">
        <f>SUMIFS($AP$64:$AP$509,$B$64:$B$509,$B55)+SUMIFS($AO$64:$AO$509,$B$64:$B$509,$B55)</f>
        <v>0</v>
      </c>
      <c r="AB55" s="98">
        <f>SUMIFS($AQ$64:$AQ$509,$B$64:$B$509,$B55)</f>
        <v>19305.687219502735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3081</v>
      </c>
      <c r="G56" s="92">
        <f t="shared" ref="G56" si="45">IFERROR(H56/F56,0)</f>
        <v>332.88399168127233</v>
      </c>
      <c r="H56" s="92">
        <f>SUM(H51:H55)</f>
        <v>1025615.57837</v>
      </c>
      <c r="I56" s="92">
        <f>SUM(I51:I55)</f>
        <v>13</v>
      </c>
      <c r="J56" s="92">
        <f>SUM(J51:J55)</f>
        <v>3094</v>
      </c>
      <c r="K56" s="92">
        <f t="shared" si="41"/>
        <v>362.27794176067471</v>
      </c>
      <c r="L56" s="92">
        <f>SUM(L51:L55)</f>
        <v>7935.4263073063976</v>
      </c>
      <c r="M56" s="92">
        <f>SUM(M51:M55)</f>
        <v>1120887.9518075276</v>
      </c>
      <c r="N56" s="92">
        <f t="shared" ref="N56:O56" si="46">SUM(N51:N55)</f>
        <v>33</v>
      </c>
      <c r="O56" s="92">
        <f t="shared" si="46"/>
        <v>3127</v>
      </c>
      <c r="P56" s="92">
        <f>IFERROR(R56/O56,0)</f>
        <v>392.70855564152072</v>
      </c>
      <c r="Q56" s="92">
        <f t="shared" ref="Q56" si="47">SUM(Q51:Q55)</f>
        <v>12903.188664776699</v>
      </c>
      <c r="R56" s="92">
        <f t="shared" ref="R56:T56" si="48">SUM(R51:R55)</f>
        <v>1227999.6534910353</v>
      </c>
      <c r="S56" s="92">
        <f t="shared" si="48"/>
        <v>-18</v>
      </c>
      <c r="T56" s="92">
        <f t="shared" si="48"/>
        <v>3109</v>
      </c>
      <c r="U56" s="92">
        <f>IFERROR(W56/T56,0)</f>
        <v>424.04521524895375</v>
      </c>
      <c r="V56" s="92">
        <f t="shared" ref="V56" si="49">SUM(V51:V55)</f>
        <v>-11638.65094926132</v>
      </c>
      <c r="W56" s="92">
        <f t="shared" ref="W56:Y56" si="50">SUM(W51:W55)</f>
        <v>1318356.5742089972</v>
      </c>
      <c r="X56" s="92">
        <f t="shared" si="50"/>
        <v>-52</v>
      </c>
      <c r="Y56" s="92">
        <f t="shared" si="50"/>
        <v>3057</v>
      </c>
      <c r="Z56" s="92">
        <f>IFERROR(AB56/Y56,0)</f>
        <v>456.62548476130496</v>
      </c>
      <c r="AA56" s="92">
        <f t="shared" ref="AA56" si="51">SUM(AA51:AA55)</f>
        <v>-29307.424520271532</v>
      </c>
      <c r="AB56" s="104">
        <f t="shared" ref="AB56" si="52">SUM(AB51:AB55)</f>
        <v>1395904.1069153093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3.105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183</v>
      </c>
      <c r="G66" s="35">
        <f>SUMIFS(WORKING!$AC$3:$AC$6802,WORKING!$A$3:$A$6802,Results!$D$3,WORKING!$B$3:$B$6802,Results!A66,WORKING!$C$3:$C$6802,Results!C66)/1000</f>
        <v>18572.431000000008</v>
      </c>
      <c r="H66" s="35">
        <f t="shared" si="60"/>
        <v>101.48869398907108</v>
      </c>
      <c r="I66" s="187">
        <v>123</v>
      </c>
      <c r="J66" s="212">
        <v>18306</v>
      </c>
      <c r="K66" s="217">
        <f t="shared" si="61"/>
        <v>148.82926829268294</v>
      </c>
      <c r="L66" s="34">
        <f t="shared" si="54"/>
        <v>123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161.39953400720538</v>
      </c>
      <c r="N66" s="57">
        <v>5</v>
      </c>
      <c r="O66" s="57">
        <v>17</v>
      </c>
      <c r="P66" s="61">
        <f t="shared" si="55"/>
        <v>111</v>
      </c>
      <c r="Q66" s="40">
        <f t="shared" si="62"/>
        <v>806.99767003602688</v>
      </c>
      <c r="R66" s="40">
        <f t="shared" si="63"/>
        <v>-2743.7920781224911</v>
      </c>
      <c r="S66" s="44">
        <f t="shared" si="64"/>
        <v>17915.348274799795</v>
      </c>
      <c r="T66" s="35">
        <f t="shared" si="65"/>
        <v>111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174.93425285183699</v>
      </c>
      <c r="V66" s="57">
        <v>0</v>
      </c>
      <c r="W66" s="57">
        <v>0</v>
      </c>
      <c r="X66" s="61">
        <f t="shared" si="56"/>
        <v>111</v>
      </c>
      <c r="Y66" s="40">
        <f t="shared" si="66"/>
        <v>0</v>
      </c>
      <c r="Z66" s="40">
        <f t="shared" si="67"/>
        <v>0</v>
      </c>
      <c r="AA66" s="44">
        <f t="shared" si="68"/>
        <v>19417.702066553906</v>
      </c>
      <c r="AB66" s="35">
        <f t="shared" si="69"/>
        <v>111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189.42685511691784</v>
      </c>
      <c r="AD66" s="57">
        <v>0</v>
      </c>
      <c r="AE66" s="57">
        <v>0</v>
      </c>
      <c r="AF66" s="61">
        <f t="shared" si="57"/>
        <v>111</v>
      </c>
      <c r="AG66" s="40">
        <f t="shared" si="70"/>
        <v>0</v>
      </c>
      <c r="AH66" s="40">
        <f t="shared" si="71"/>
        <v>0</v>
      </c>
      <c r="AI66" s="44">
        <f t="shared" si="72"/>
        <v>21026.38091797788</v>
      </c>
      <c r="AJ66" s="35">
        <f t="shared" si="58"/>
        <v>111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204.73652956120844</v>
      </c>
      <c r="AL66" s="57">
        <v>0</v>
      </c>
      <c r="AM66" s="57">
        <v>2</v>
      </c>
      <c r="AN66" s="61">
        <f t="shared" si="59"/>
        <v>109</v>
      </c>
      <c r="AO66" s="40">
        <f t="shared" si="73"/>
        <v>0</v>
      </c>
      <c r="AP66" s="40">
        <f t="shared" si="74"/>
        <v>-409.47305912241688</v>
      </c>
      <c r="AQ66" s="44">
        <f t="shared" si="75"/>
        <v>22316.28172217172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62</v>
      </c>
      <c r="G67" s="35">
        <f>SUMIFS(WORKING!$AC$3:$AC$6802,WORKING!$A$3:$A$6802,Results!$D$3,WORKING!$B$3:$B$6802,Results!A67,WORKING!$C$3:$C$6802,Results!C67)/1000</f>
        <v>8277.1660900000006</v>
      </c>
      <c r="H67" s="35">
        <f t="shared" si="60"/>
        <v>133.50267887096774</v>
      </c>
      <c r="I67" s="187">
        <v>44</v>
      </c>
      <c r="J67" s="212">
        <v>8139</v>
      </c>
      <c r="K67" s="217">
        <f t="shared" si="61"/>
        <v>184.97727272727272</v>
      </c>
      <c r="L67" s="34">
        <f t="shared" si="54"/>
        <v>44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200.882353615211</v>
      </c>
      <c r="N67" s="57">
        <v>3</v>
      </c>
      <c r="O67" s="57">
        <v>6</v>
      </c>
      <c r="P67" s="61">
        <f t="shared" si="55"/>
        <v>41</v>
      </c>
      <c r="Q67" s="40">
        <f t="shared" si="62"/>
        <v>602.64706084563295</v>
      </c>
      <c r="R67" s="40">
        <f t="shared" si="63"/>
        <v>-1205.2941216912659</v>
      </c>
      <c r="S67" s="44">
        <f t="shared" si="64"/>
        <v>8236.1764982236509</v>
      </c>
      <c r="T67" s="35">
        <f t="shared" si="65"/>
        <v>41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217.81583332662555</v>
      </c>
      <c r="V67" s="57">
        <v>0</v>
      </c>
      <c r="W67" s="57">
        <v>0</v>
      </c>
      <c r="X67" s="61">
        <f t="shared" si="56"/>
        <v>41</v>
      </c>
      <c r="Y67" s="40">
        <f t="shared" si="66"/>
        <v>0</v>
      </c>
      <c r="Z67" s="40">
        <f t="shared" si="67"/>
        <v>0</v>
      </c>
      <c r="AA67" s="44">
        <f t="shared" si="68"/>
        <v>8930.4491663916469</v>
      </c>
      <c r="AB67" s="35">
        <f t="shared" si="69"/>
        <v>41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235.95606907915024</v>
      </c>
      <c r="AD67" s="57">
        <v>0</v>
      </c>
      <c r="AE67" s="57">
        <v>0</v>
      </c>
      <c r="AF67" s="61">
        <f t="shared" si="57"/>
        <v>41</v>
      </c>
      <c r="AG67" s="40">
        <f t="shared" si="70"/>
        <v>0</v>
      </c>
      <c r="AH67" s="40">
        <f t="shared" si="71"/>
        <v>0</v>
      </c>
      <c r="AI67" s="44">
        <f t="shared" si="72"/>
        <v>9674.1988322451598</v>
      </c>
      <c r="AJ67" s="35">
        <f t="shared" si="58"/>
        <v>41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255.12899341314321</v>
      </c>
      <c r="AL67" s="57">
        <v>0</v>
      </c>
      <c r="AM67" s="57">
        <v>0</v>
      </c>
      <c r="AN67" s="61">
        <f t="shared" si="59"/>
        <v>41</v>
      </c>
      <c r="AO67" s="40">
        <f t="shared" si="73"/>
        <v>0</v>
      </c>
      <c r="AP67" s="40">
        <f t="shared" si="74"/>
        <v>0</v>
      </c>
      <c r="AQ67" s="44">
        <f t="shared" si="75"/>
        <v>10460.288729938871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252</v>
      </c>
      <c r="G68" s="35">
        <f>SUMIFS(WORKING!$AC$3:$AC$6802,WORKING!$A$3:$A$6802,Results!$D$3,WORKING!$B$3:$B$6802,Results!A68,WORKING!$C$3:$C$6802,Results!C68)/1000</f>
        <v>36351.180539999987</v>
      </c>
      <c r="H68" s="35">
        <f t="shared" si="60"/>
        <v>144.25071642857137</v>
      </c>
      <c r="I68" s="187">
        <v>196</v>
      </c>
      <c r="J68" s="212">
        <v>35216</v>
      </c>
      <c r="K68" s="217">
        <f t="shared" si="61"/>
        <v>179.67346938775509</v>
      </c>
      <c r="L68" s="34">
        <f t="shared" si="54"/>
        <v>196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195.22729630649587</v>
      </c>
      <c r="N68" s="57">
        <v>23</v>
      </c>
      <c r="O68" s="57">
        <v>15</v>
      </c>
      <c r="P68" s="61">
        <f t="shared" si="55"/>
        <v>204</v>
      </c>
      <c r="Q68" s="40">
        <f t="shared" si="62"/>
        <v>4490.2278150494049</v>
      </c>
      <c r="R68" s="40">
        <f t="shared" si="63"/>
        <v>-2928.4094445974379</v>
      </c>
      <c r="S68" s="44">
        <f t="shared" si="64"/>
        <v>39826.368446525157</v>
      </c>
      <c r="T68" s="35">
        <f t="shared" si="65"/>
        <v>204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211.715914841977</v>
      </c>
      <c r="V68" s="57">
        <v>0</v>
      </c>
      <c r="W68" s="57">
        <v>2</v>
      </c>
      <c r="X68" s="61">
        <f t="shared" si="56"/>
        <v>202</v>
      </c>
      <c r="Y68" s="40">
        <f t="shared" si="66"/>
        <v>0</v>
      </c>
      <c r="Z68" s="40">
        <f t="shared" si="67"/>
        <v>-423.43182968395399</v>
      </c>
      <c r="AA68" s="44">
        <f t="shared" si="68"/>
        <v>42766.614798079354</v>
      </c>
      <c r="AB68" s="35">
        <f t="shared" si="69"/>
        <v>202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229.38265109859293</v>
      </c>
      <c r="AD68" s="57">
        <v>0</v>
      </c>
      <c r="AE68" s="57">
        <v>2</v>
      </c>
      <c r="AF68" s="61">
        <f t="shared" si="57"/>
        <v>200</v>
      </c>
      <c r="AG68" s="40">
        <f t="shared" si="70"/>
        <v>0</v>
      </c>
      <c r="AH68" s="40">
        <f t="shared" si="71"/>
        <v>-458.76530219718586</v>
      </c>
      <c r="AI68" s="44">
        <f t="shared" si="72"/>
        <v>45876.530219718588</v>
      </c>
      <c r="AJ68" s="35">
        <f t="shared" si="58"/>
        <v>200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248.05882574846112</v>
      </c>
      <c r="AL68" s="57">
        <v>0</v>
      </c>
      <c r="AM68" s="57">
        <v>3</v>
      </c>
      <c r="AN68" s="61">
        <f t="shared" si="59"/>
        <v>197</v>
      </c>
      <c r="AO68" s="40">
        <f t="shared" si="73"/>
        <v>0</v>
      </c>
      <c r="AP68" s="40">
        <f t="shared" si="74"/>
        <v>-744.17647724538335</v>
      </c>
      <c r="AQ68" s="44">
        <f t="shared" si="75"/>
        <v>48867.588672446844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323</v>
      </c>
      <c r="G69" s="35">
        <f>SUMIFS(WORKING!$AC$3:$AC$6802,WORKING!$A$3:$A$6802,Results!$D$3,WORKING!$B$3:$B$6802,Results!A69,WORKING!$C$3:$C$6802,Results!C69)/1000</f>
        <v>51754.830980000006</v>
      </c>
      <c r="H69" s="35">
        <f t="shared" si="60"/>
        <v>160.23167486068112</v>
      </c>
      <c r="I69" s="187">
        <v>200</v>
      </c>
      <c r="J69" s="212">
        <v>49418</v>
      </c>
      <c r="K69" s="217">
        <f t="shared" si="61"/>
        <v>247.09</v>
      </c>
      <c r="L69" s="34">
        <f t="shared" si="54"/>
        <v>200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268.64270054953141</v>
      </c>
      <c r="N69" s="57">
        <v>8</v>
      </c>
      <c r="O69" s="57">
        <v>20</v>
      </c>
      <c r="P69" s="61">
        <f t="shared" si="55"/>
        <v>188</v>
      </c>
      <c r="Q69" s="40">
        <f t="shared" si="62"/>
        <v>2149.1416043962513</v>
      </c>
      <c r="R69" s="40">
        <f t="shared" si="63"/>
        <v>-5372.854010990628</v>
      </c>
      <c r="S69" s="44">
        <f t="shared" si="64"/>
        <v>50504.827703311908</v>
      </c>
      <c r="T69" s="35">
        <f t="shared" si="65"/>
        <v>188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291.38180517831398</v>
      </c>
      <c r="V69" s="57">
        <v>0</v>
      </c>
      <c r="W69" s="57">
        <v>0</v>
      </c>
      <c r="X69" s="61">
        <f t="shared" si="56"/>
        <v>188</v>
      </c>
      <c r="Y69" s="40">
        <f t="shared" si="66"/>
        <v>0</v>
      </c>
      <c r="Z69" s="40">
        <f t="shared" si="67"/>
        <v>0</v>
      </c>
      <c r="AA69" s="44">
        <f t="shared" si="68"/>
        <v>54779.77937352303</v>
      </c>
      <c r="AB69" s="35">
        <f t="shared" si="69"/>
        <v>188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315.75042278217853</v>
      </c>
      <c r="AD69" s="57">
        <v>0</v>
      </c>
      <c r="AE69" s="57">
        <v>1</v>
      </c>
      <c r="AF69" s="61">
        <f t="shared" si="57"/>
        <v>187</v>
      </c>
      <c r="AG69" s="40">
        <f t="shared" si="70"/>
        <v>0</v>
      </c>
      <c r="AH69" s="40">
        <f t="shared" si="71"/>
        <v>-315.75042278217853</v>
      </c>
      <c r="AI69" s="44">
        <f t="shared" si="72"/>
        <v>59045.329060267388</v>
      </c>
      <c r="AJ69" s="35">
        <f t="shared" si="58"/>
        <v>187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341.5171871154231</v>
      </c>
      <c r="AL69" s="57">
        <v>0</v>
      </c>
      <c r="AM69" s="57">
        <v>2</v>
      </c>
      <c r="AN69" s="61">
        <f t="shared" si="59"/>
        <v>185</v>
      </c>
      <c r="AO69" s="40">
        <f t="shared" si="73"/>
        <v>0</v>
      </c>
      <c r="AP69" s="40">
        <f t="shared" si="74"/>
        <v>-683.0343742308462</v>
      </c>
      <c r="AQ69" s="44">
        <f t="shared" si="75"/>
        <v>63180.679616353271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203</v>
      </c>
      <c r="G70" s="35">
        <f>SUMIFS(WORKING!$AC$3:$AC$6802,WORKING!$A$3:$A$6802,Results!$D$3,WORKING!$B$3:$B$6802,Results!A70,WORKING!$C$3:$C$6802,Results!C70)/1000</f>
        <v>39873.143060000002</v>
      </c>
      <c r="H70" s="35">
        <f t="shared" si="60"/>
        <v>196.4194239408867</v>
      </c>
      <c r="I70" s="187">
        <v>135</v>
      </c>
      <c r="J70" s="212">
        <v>39337</v>
      </c>
      <c r="K70" s="217">
        <f t="shared" si="61"/>
        <v>291.38518518518521</v>
      </c>
      <c r="L70" s="34">
        <f t="shared" si="54"/>
        <v>135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317.08007140155178</v>
      </c>
      <c r="N70" s="57">
        <v>6</v>
      </c>
      <c r="O70" s="57">
        <v>16</v>
      </c>
      <c r="P70" s="61">
        <f t="shared" si="55"/>
        <v>125</v>
      </c>
      <c r="Q70" s="40">
        <f t="shared" si="62"/>
        <v>1902.4804284093107</v>
      </c>
      <c r="R70" s="40">
        <f t="shared" si="63"/>
        <v>-5073.2811424248284</v>
      </c>
      <c r="S70" s="44">
        <f t="shared" si="64"/>
        <v>39635.008925193972</v>
      </c>
      <c r="T70" s="35">
        <f t="shared" si="65"/>
        <v>125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344.00664125332793</v>
      </c>
      <c r="V70" s="57">
        <v>0</v>
      </c>
      <c r="W70" s="57">
        <v>1</v>
      </c>
      <c r="X70" s="61">
        <f t="shared" si="56"/>
        <v>124</v>
      </c>
      <c r="Y70" s="40">
        <f t="shared" si="66"/>
        <v>0</v>
      </c>
      <c r="Z70" s="40">
        <f t="shared" si="67"/>
        <v>-344.00664125332793</v>
      </c>
      <c r="AA70" s="44">
        <f t="shared" si="68"/>
        <v>42656.82351541266</v>
      </c>
      <c r="AB70" s="35">
        <f t="shared" si="69"/>
        <v>124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372.8711243026201</v>
      </c>
      <c r="AD70" s="57">
        <v>0</v>
      </c>
      <c r="AE70" s="57">
        <v>1</v>
      </c>
      <c r="AF70" s="61">
        <f t="shared" si="57"/>
        <v>123</v>
      </c>
      <c r="AG70" s="40">
        <f t="shared" si="70"/>
        <v>0</v>
      </c>
      <c r="AH70" s="40">
        <f t="shared" si="71"/>
        <v>-372.8711243026201</v>
      </c>
      <c r="AI70" s="44">
        <f t="shared" si="72"/>
        <v>45863.14828922227</v>
      </c>
      <c r="AJ70" s="35">
        <f t="shared" si="58"/>
        <v>123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403.40161135493406</v>
      </c>
      <c r="AL70" s="57">
        <v>0</v>
      </c>
      <c r="AM70" s="57">
        <v>5</v>
      </c>
      <c r="AN70" s="61">
        <f t="shared" si="59"/>
        <v>118</v>
      </c>
      <c r="AO70" s="40">
        <f t="shared" si="73"/>
        <v>0</v>
      </c>
      <c r="AP70" s="40">
        <f t="shared" si="74"/>
        <v>-2017.0080567746704</v>
      </c>
      <c r="AQ70" s="44">
        <f t="shared" si="75"/>
        <v>47601.39013988222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161</v>
      </c>
      <c r="G71" s="35">
        <f>SUMIFS(WORKING!$AC$3:$AC$6802,WORKING!$A$3:$A$6802,Results!$D$3,WORKING!$B$3:$B$6802,Results!A71,WORKING!$C$3:$C$6802,Results!C71)/1000</f>
        <v>39075.13175</v>
      </c>
      <c r="H71" s="35">
        <f>IFERROR(G71/F71,0)</f>
        <v>242.70268167701863</v>
      </c>
      <c r="I71" s="187">
        <v>121</v>
      </c>
      <c r="J71" s="212">
        <v>43815</v>
      </c>
      <c r="K71" s="217">
        <f t="shared" si="61"/>
        <v>362.10743801652893</v>
      </c>
      <c r="L71" s="34">
        <f t="shared" si="54"/>
        <v>121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394.29102375884383</v>
      </c>
      <c r="N71" s="57">
        <v>10</v>
      </c>
      <c r="O71" s="57">
        <v>1</v>
      </c>
      <c r="P71" s="61">
        <f t="shared" si="55"/>
        <v>130</v>
      </c>
      <c r="Q71" s="40">
        <f t="shared" si="62"/>
        <v>3942.9102375884386</v>
      </c>
      <c r="R71" s="40">
        <f t="shared" si="63"/>
        <v>-394.29102375884383</v>
      </c>
      <c r="S71" s="44">
        <f t="shared" si="64"/>
        <v>51257.833088649699</v>
      </c>
      <c r="T71" s="35">
        <f t="shared" si="65"/>
        <v>130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427.85229419962229</v>
      </c>
      <c r="V71" s="57">
        <v>0</v>
      </c>
      <c r="W71" s="57">
        <v>0</v>
      </c>
      <c r="X71" s="61">
        <f t="shared" si="56"/>
        <v>130</v>
      </c>
      <c r="Y71" s="40">
        <f t="shared" si="66"/>
        <v>0</v>
      </c>
      <c r="Z71" s="40">
        <f t="shared" si="67"/>
        <v>0</v>
      </c>
      <c r="AA71" s="44">
        <f t="shared" si="68"/>
        <v>55620.7982459509</v>
      </c>
      <c r="AB71" s="35">
        <f t="shared" si="69"/>
        <v>130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463.83646947131541</v>
      </c>
      <c r="AD71" s="57">
        <v>0</v>
      </c>
      <c r="AE71" s="57">
        <v>0</v>
      </c>
      <c r="AF71" s="61">
        <f t="shared" si="57"/>
        <v>130</v>
      </c>
      <c r="AG71" s="40">
        <f t="shared" si="70"/>
        <v>0</v>
      </c>
      <c r="AH71" s="40">
        <f t="shared" si="71"/>
        <v>0</v>
      </c>
      <c r="AI71" s="44">
        <f t="shared" si="72"/>
        <v>60298.741031271005</v>
      </c>
      <c r="AJ71" s="35">
        <f t="shared" si="58"/>
        <v>130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501.90657432074056</v>
      </c>
      <c r="AL71" s="57">
        <v>0</v>
      </c>
      <c r="AM71" s="57">
        <v>4</v>
      </c>
      <c r="AN71" s="61">
        <f t="shared" si="59"/>
        <v>126</v>
      </c>
      <c r="AO71" s="40">
        <f t="shared" si="73"/>
        <v>0</v>
      </c>
      <c r="AP71" s="40">
        <f t="shared" si="74"/>
        <v>-2007.6262972829622</v>
      </c>
      <c r="AQ71" s="44">
        <f t="shared" si="75"/>
        <v>63240.228364413313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73</v>
      </c>
      <c r="G72" s="35">
        <f>SUMIFS(WORKING!$AC$3:$AC$6802,WORKING!$A$3:$A$6802,Results!$D$3,WORKING!$B$3:$B$6802,Results!A72,WORKING!$C$3:$C$6802,Results!C72)/1000</f>
        <v>17124.32285</v>
      </c>
      <c r="H72" s="35">
        <f t="shared" si="60"/>
        <v>234.57976506849315</v>
      </c>
      <c r="I72" s="187">
        <v>38</v>
      </c>
      <c r="J72" s="212">
        <v>17367</v>
      </c>
      <c r="K72" s="217">
        <f>IFERROR(IF(J72="",G72,J72)/IF(I72="",F72,I72),"")</f>
        <v>457.0263157894737</v>
      </c>
      <c r="L72" s="34">
        <f t="shared" si="54"/>
        <v>38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497.84060754730029</v>
      </c>
      <c r="N72" s="57">
        <v>4</v>
      </c>
      <c r="O72" s="57">
        <v>0</v>
      </c>
      <c r="P72" s="61">
        <f t="shared" si="55"/>
        <v>42</v>
      </c>
      <c r="Q72" s="40">
        <f t="shared" si="62"/>
        <v>1991.3624301892012</v>
      </c>
      <c r="R72" s="40">
        <f t="shared" si="63"/>
        <v>0</v>
      </c>
      <c r="S72" s="44">
        <f t="shared" si="64"/>
        <v>20909.305516986613</v>
      </c>
      <c r="T72" s="35">
        <f t="shared" si="65"/>
        <v>42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540.27671056368524</v>
      </c>
      <c r="V72" s="57">
        <v>0</v>
      </c>
      <c r="W72" s="57">
        <v>0</v>
      </c>
      <c r="X72" s="61">
        <f t="shared" si="56"/>
        <v>42</v>
      </c>
      <c r="Y72" s="40">
        <f t="shared" si="66"/>
        <v>0</v>
      </c>
      <c r="Z72" s="40">
        <f t="shared" si="67"/>
        <v>0</v>
      </c>
      <c r="AA72" s="44">
        <f t="shared" si="68"/>
        <v>22691.62184367478</v>
      </c>
      <c r="AB72" s="35">
        <f t="shared" si="69"/>
        <v>42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585.78223827996828</v>
      </c>
      <c r="AD72" s="57">
        <v>0</v>
      </c>
      <c r="AE72" s="57">
        <v>0</v>
      </c>
      <c r="AF72" s="61">
        <f t="shared" si="57"/>
        <v>42</v>
      </c>
      <c r="AG72" s="40">
        <f t="shared" si="70"/>
        <v>0</v>
      </c>
      <c r="AH72" s="40">
        <f t="shared" si="71"/>
        <v>0</v>
      </c>
      <c r="AI72" s="44">
        <f t="shared" si="72"/>
        <v>24602.854007758669</v>
      </c>
      <c r="AJ72" s="35">
        <f t="shared" si="58"/>
        <v>42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633.93255785170209</v>
      </c>
      <c r="AL72" s="57">
        <v>0</v>
      </c>
      <c r="AM72" s="57">
        <v>0</v>
      </c>
      <c r="AN72" s="61">
        <f t="shared" si="59"/>
        <v>42</v>
      </c>
      <c r="AO72" s="40">
        <f t="shared" si="73"/>
        <v>0</v>
      </c>
      <c r="AP72" s="40">
        <f t="shared" si="74"/>
        <v>0</v>
      </c>
      <c r="AQ72" s="44">
        <f t="shared" si="75"/>
        <v>26625.167429771489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82</v>
      </c>
      <c r="G73" s="35">
        <f>SUMIFS(WORKING!$AC$3:$AC$6802,WORKING!$A$3:$A$6802,Results!$D$3,WORKING!$B$3:$B$6802,Results!A73,WORKING!$C$3:$C$6802,Results!C73)/1000</f>
        <v>31312.495520000004</v>
      </c>
      <c r="H73" s="35">
        <f t="shared" si="60"/>
        <v>381.85970146341469</v>
      </c>
      <c r="I73" s="187">
        <v>52</v>
      </c>
      <c r="J73" s="212">
        <v>26450</v>
      </c>
      <c r="K73" s="217">
        <f t="shared" si="61"/>
        <v>508.65384615384613</v>
      </c>
      <c r="L73" s="34">
        <f t="shared" si="54"/>
        <v>52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554.45039243158055</v>
      </c>
      <c r="N73" s="57">
        <v>1</v>
      </c>
      <c r="O73" s="57">
        <v>3</v>
      </c>
      <c r="P73" s="61">
        <f t="shared" si="55"/>
        <v>50</v>
      </c>
      <c r="Q73" s="40">
        <f t="shared" si="62"/>
        <v>554.45039243158055</v>
      </c>
      <c r="R73" s="40">
        <f t="shared" si="63"/>
        <v>-1663.3511772947418</v>
      </c>
      <c r="S73" s="44">
        <f t="shared" si="64"/>
        <v>27722.519621579027</v>
      </c>
      <c r="T73" s="35">
        <f t="shared" si="65"/>
        <v>50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601.82653821744179</v>
      </c>
      <c r="V73" s="57">
        <v>0</v>
      </c>
      <c r="W73" s="57">
        <v>0</v>
      </c>
      <c r="X73" s="61">
        <f t="shared" si="56"/>
        <v>50</v>
      </c>
      <c r="Y73" s="40">
        <f t="shared" si="66"/>
        <v>0</v>
      </c>
      <c r="Z73" s="40">
        <f t="shared" si="67"/>
        <v>0</v>
      </c>
      <c r="AA73" s="44">
        <f t="shared" si="68"/>
        <v>30091.326910872089</v>
      </c>
      <c r="AB73" s="35">
        <f t="shared" si="69"/>
        <v>50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652.64048645406388</v>
      </c>
      <c r="AD73" s="57">
        <v>0</v>
      </c>
      <c r="AE73" s="57">
        <v>0</v>
      </c>
      <c r="AF73" s="61">
        <f t="shared" si="57"/>
        <v>50</v>
      </c>
      <c r="AG73" s="40">
        <f t="shared" si="70"/>
        <v>0</v>
      </c>
      <c r="AH73" s="40">
        <f t="shared" si="71"/>
        <v>0</v>
      </c>
      <c r="AI73" s="44">
        <f t="shared" si="72"/>
        <v>32632.024322703193</v>
      </c>
      <c r="AJ73" s="35">
        <f t="shared" si="58"/>
        <v>50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706.4210375523927</v>
      </c>
      <c r="AL73" s="57">
        <v>0</v>
      </c>
      <c r="AM73" s="57">
        <v>1</v>
      </c>
      <c r="AN73" s="61">
        <f t="shared" si="59"/>
        <v>49</v>
      </c>
      <c r="AO73" s="40">
        <f t="shared" si="73"/>
        <v>0</v>
      </c>
      <c r="AP73" s="40">
        <f t="shared" si="74"/>
        <v>-706.4210375523927</v>
      </c>
      <c r="AQ73" s="44">
        <f t="shared" si="75"/>
        <v>34614.630840067242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31</v>
      </c>
      <c r="G74" s="35">
        <f>SUMIFS(WORKING!$AC$3:$AC$6802,WORKING!$A$3:$A$6802,Results!$D$3,WORKING!$B$3:$B$6802,Results!A74,WORKING!$C$3:$C$6802,Results!C74)/1000</f>
        <v>10571.701069999999</v>
      </c>
      <c r="H74" s="35">
        <f t="shared" si="60"/>
        <v>341.02261516129028</v>
      </c>
      <c r="I74" s="187">
        <v>19</v>
      </c>
      <c r="J74" s="212">
        <v>11260</v>
      </c>
      <c r="K74" s="217">
        <f t="shared" si="61"/>
        <v>592.63157894736844</v>
      </c>
      <c r="L74" s="34">
        <f t="shared" si="54"/>
        <v>19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647.04610041730984</v>
      </c>
      <c r="N74" s="57">
        <v>3</v>
      </c>
      <c r="O74" s="57">
        <v>2</v>
      </c>
      <c r="P74" s="61">
        <f t="shared" si="55"/>
        <v>20</v>
      </c>
      <c r="Q74" s="40">
        <f t="shared" si="62"/>
        <v>1941.1383012519295</v>
      </c>
      <c r="R74" s="40">
        <f t="shared" si="63"/>
        <v>-1294.0922008346197</v>
      </c>
      <c r="S74" s="44">
        <f t="shared" si="64"/>
        <v>12940.922008346197</v>
      </c>
      <c r="T74" s="35">
        <f t="shared" si="65"/>
        <v>20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702.51752905360274</v>
      </c>
      <c r="V74" s="57">
        <v>0</v>
      </c>
      <c r="W74" s="57">
        <v>0</v>
      </c>
      <c r="X74" s="61">
        <f t="shared" si="56"/>
        <v>20</v>
      </c>
      <c r="Y74" s="40">
        <f t="shared" si="66"/>
        <v>0</v>
      </c>
      <c r="Z74" s="40">
        <f t="shared" si="67"/>
        <v>0</v>
      </c>
      <c r="AA74" s="44">
        <f t="shared" si="68"/>
        <v>14050.350581072054</v>
      </c>
      <c r="AB74" s="35">
        <f t="shared" si="69"/>
        <v>20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762.0316921742899</v>
      </c>
      <c r="AD74" s="57">
        <v>0</v>
      </c>
      <c r="AE74" s="57">
        <v>0</v>
      </c>
      <c r="AF74" s="61">
        <f t="shared" si="57"/>
        <v>20</v>
      </c>
      <c r="AG74" s="40">
        <f t="shared" si="70"/>
        <v>0</v>
      </c>
      <c r="AH74" s="40">
        <f t="shared" si="71"/>
        <v>0</v>
      </c>
      <c r="AI74" s="44">
        <f t="shared" si="72"/>
        <v>15240.633843485797</v>
      </c>
      <c r="AJ74" s="35">
        <f t="shared" si="58"/>
        <v>20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825.0411618107546</v>
      </c>
      <c r="AL74" s="57">
        <v>0</v>
      </c>
      <c r="AM74" s="57">
        <v>0</v>
      </c>
      <c r="AN74" s="61">
        <f t="shared" si="59"/>
        <v>20</v>
      </c>
      <c r="AO74" s="40">
        <f t="shared" si="73"/>
        <v>0</v>
      </c>
      <c r="AP74" s="40">
        <f t="shared" si="74"/>
        <v>0</v>
      </c>
      <c r="AQ74" s="44">
        <f t="shared" si="75"/>
        <v>16500.823236215092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154</v>
      </c>
      <c r="G75" s="35">
        <f>SUMIFS(WORKING!$AC$3:$AC$6802,WORKING!$A$3:$A$6802,Results!$D$3,WORKING!$B$3:$B$6802,Results!A75,WORKING!$C$3:$C$6802,Results!C75)/1000</f>
        <v>30462.947110000023</v>
      </c>
      <c r="H75" s="35">
        <f t="shared" si="60"/>
        <v>197.81134487013003</v>
      </c>
      <c r="I75" s="187">
        <v>37</v>
      </c>
      <c r="J75" s="212">
        <v>28839</v>
      </c>
      <c r="K75" s="217">
        <f t="shared" si="61"/>
        <v>779.43243243243239</v>
      </c>
      <c r="L75" s="34">
        <f t="shared" si="54"/>
        <v>37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851.02162179772699</v>
      </c>
      <c r="N75" s="57">
        <v>0</v>
      </c>
      <c r="O75" s="57">
        <v>5</v>
      </c>
      <c r="P75" s="61">
        <f t="shared" si="55"/>
        <v>32</v>
      </c>
      <c r="Q75" s="40">
        <f t="shared" si="62"/>
        <v>0</v>
      </c>
      <c r="R75" s="40">
        <f t="shared" si="63"/>
        <v>-4255.1081089886347</v>
      </c>
      <c r="S75" s="44">
        <f t="shared" si="64"/>
        <v>27232.691897527264</v>
      </c>
      <c r="T75" s="35">
        <f t="shared" si="65"/>
        <v>32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924.00478867922084</v>
      </c>
      <c r="V75" s="57">
        <v>0</v>
      </c>
      <c r="W75" s="57">
        <v>2</v>
      </c>
      <c r="X75" s="61">
        <f t="shared" si="56"/>
        <v>30</v>
      </c>
      <c r="Y75" s="40">
        <f t="shared" si="66"/>
        <v>0</v>
      </c>
      <c r="Z75" s="40">
        <f t="shared" si="67"/>
        <v>-1848.0095773584417</v>
      </c>
      <c r="AA75" s="44">
        <f t="shared" si="68"/>
        <v>27720.143660376627</v>
      </c>
      <c r="AB75" s="35">
        <f t="shared" si="69"/>
        <v>30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1002.3093396080385</v>
      </c>
      <c r="AD75" s="57">
        <v>0</v>
      </c>
      <c r="AE75" s="57">
        <v>2</v>
      </c>
      <c r="AF75" s="61">
        <f t="shared" si="57"/>
        <v>28</v>
      </c>
      <c r="AG75" s="40">
        <f t="shared" si="70"/>
        <v>0</v>
      </c>
      <c r="AH75" s="40">
        <f t="shared" si="71"/>
        <v>-2004.618679216077</v>
      </c>
      <c r="AI75" s="44">
        <f t="shared" si="72"/>
        <v>28064.661509025078</v>
      </c>
      <c r="AJ75" s="35">
        <f t="shared" si="58"/>
        <v>28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1085.2156461332079</v>
      </c>
      <c r="AL75" s="57">
        <v>0</v>
      </c>
      <c r="AM75" s="57">
        <v>7</v>
      </c>
      <c r="AN75" s="61">
        <f t="shared" si="59"/>
        <v>21</v>
      </c>
      <c r="AO75" s="40">
        <f t="shared" si="73"/>
        <v>0</v>
      </c>
      <c r="AP75" s="40">
        <f t="shared" si="74"/>
        <v>-7596.5095229324552</v>
      </c>
      <c r="AQ75" s="44">
        <f t="shared" si="75"/>
        <v>22789.528568797366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24</v>
      </c>
      <c r="G76" s="35">
        <f>SUMIFS(WORKING!$AC$3:$AC$6802,WORKING!$A$3:$A$6802,Results!$D$3,WORKING!$B$3:$B$6802,Results!A76,WORKING!$C$3:$C$6802,Results!C76)/1000</f>
        <v>18089.02475</v>
      </c>
      <c r="H76" s="35">
        <f t="shared" si="60"/>
        <v>753.70936458333335</v>
      </c>
      <c r="I76" s="187">
        <v>17</v>
      </c>
      <c r="J76" s="212">
        <v>18452</v>
      </c>
      <c r="K76" s="217">
        <f t="shared" si="61"/>
        <v>1085.4117647058824</v>
      </c>
      <c r="L76" s="34">
        <f t="shared" si="54"/>
        <v>17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1137.8611998086267</v>
      </c>
      <c r="N76" s="57">
        <v>1</v>
      </c>
      <c r="O76" s="57">
        <v>0</v>
      </c>
      <c r="P76" s="61">
        <f t="shared" si="55"/>
        <v>18</v>
      </c>
      <c r="Q76" s="40">
        <f t="shared" si="62"/>
        <v>1137.8611998086267</v>
      </c>
      <c r="R76" s="40">
        <f t="shared" si="63"/>
        <v>0</v>
      </c>
      <c r="S76" s="44">
        <f t="shared" si="64"/>
        <v>20481.501596555281</v>
      </c>
      <c r="T76" s="35">
        <f t="shared" si="65"/>
        <v>18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1224.0230502426689</v>
      </c>
      <c r="V76" s="57">
        <v>0</v>
      </c>
      <c r="W76" s="57">
        <v>0</v>
      </c>
      <c r="X76" s="61">
        <f t="shared" si="56"/>
        <v>18</v>
      </c>
      <c r="Y76" s="40">
        <f t="shared" si="66"/>
        <v>0</v>
      </c>
      <c r="Z76" s="40">
        <f t="shared" si="67"/>
        <v>0</v>
      </c>
      <c r="AA76" s="44">
        <f t="shared" si="68"/>
        <v>22032.414904368041</v>
      </c>
      <c r="AB76" s="35">
        <f t="shared" si="69"/>
        <v>18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1315.4671246006912</v>
      </c>
      <c r="AD76" s="57">
        <v>0</v>
      </c>
      <c r="AE76" s="57">
        <v>2</v>
      </c>
      <c r="AF76" s="61">
        <f t="shared" si="57"/>
        <v>16</v>
      </c>
      <c r="AG76" s="40">
        <f t="shared" si="70"/>
        <v>0</v>
      </c>
      <c r="AH76" s="40">
        <f t="shared" si="71"/>
        <v>-2630.9342492013825</v>
      </c>
      <c r="AI76" s="44">
        <f t="shared" si="72"/>
        <v>21047.47399361106</v>
      </c>
      <c r="AJ76" s="35">
        <f t="shared" si="58"/>
        <v>16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1411.072826914673</v>
      </c>
      <c r="AL76" s="57">
        <v>0</v>
      </c>
      <c r="AM76" s="57">
        <v>0</v>
      </c>
      <c r="AN76" s="61">
        <f t="shared" si="59"/>
        <v>16</v>
      </c>
      <c r="AO76" s="40">
        <f t="shared" si="73"/>
        <v>0</v>
      </c>
      <c r="AP76" s="40">
        <f t="shared" si="74"/>
        <v>0</v>
      </c>
      <c r="AQ76" s="44">
        <f t="shared" si="75"/>
        <v>22577.165230634768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17</v>
      </c>
      <c r="G77" s="35">
        <f>SUMIFS(WORKING!$AC$3:$AC$6802,WORKING!$A$3:$A$6802,Results!$D$3,WORKING!$B$3:$B$6802,Results!A77,WORKING!$C$3:$C$6802,Results!C77)/1000</f>
        <v>8522.1226199999983</v>
      </c>
      <c r="H77" s="35">
        <f t="shared" si="60"/>
        <v>501.3013305882352</v>
      </c>
      <c r="I77" s="187">
        <v>6</v>
      </c>
      <c r="J77" s="212">
        <v>6312</v>
      </c>
      <c r="K77" s="217">
        <f t="shared" si="61"/>
        <v>1052</v>
      </c>
      <c r="L77" s="34">
        <f t="shared" si="54"/>
        <v>6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1102.8243226706757</v>
      </c>
      <c r="N77" s="57">
        <v>0</v>
      </c>
      <c r="O77" s="57">
        <v>0</v>
      </c>
      <c r="P77" s="61">
        <f t="shared" si="55"/>
        <v>6</v>
      </c>
      <c r="Q77" s="40">
        <f t="shared" si="62"/>
        <v>0</v>
      </c>
      <c r="R77" s="40">
        <f t="shared" si="63"/>
        <v>0</v>
      </c>
      <c r="S77" s="44">
        <f t="shared" si="64"/>
        <v>6616.9459360240544</v>
      </c>
      <c r="T77" s="35">
        <f t="shared" si="65"/>
        <v>6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1186.3217030709743</v>
      </c>
      <c r="V77" s="57">
        <v>0</v>
      </c>
      <c r="W77" s="57">
        <v>1</v>
      </c>
      <c r="X77" s="61">
        <f t="shared" si="56"/>
        <v>5</v>
      </c>
      <c r="Y77" s="40">
        <f t="shared" si="66"/>
        <v>0</v>
      </c>
      <c r="Z77" s="40">
        <f t="shared" si="67"/>
        <v>-1186.3217030709743</v>
      </c>
      <c r="AA77" s="44">
        <f t="shared" si="68"/>
        <v>5931.608515354872</v>
      </c>
      <c r="AB77" s="35">
        <f t="shared" si="69"/>
        <v>5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1274.9369568034679</v>
      </c>
      <c r="AD77" s="57">
        <v>0</v>
      </c>
      <c r="AE77" s="57">
        <v>0</v>
      </c>
      <c r="AF77" s="61">
        <f t="shared" si="57"/>
        <v>5</v>
      </c>
      <c r="AG77" s="40">
        <f t="shared" si="70"/>
        <v>0</v>
      </c>
      <c r="AH77" s="40">
        <f t="shared" si="71"/>
        <v>0</v>
      </c>
      <c r="AI77" s="44">
        <f t="shared" si="72"/>
        <v>6374.6847840173396</v>
      </c>
      <c r="AJ77" s="35">
        <f t="shared" si="58"/>
        <v>5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1367.5838770453081</v>
      </c>
      <c r="AL77" s="57">
        <v>0</v>
      </c>
      <c r="AM77" s="57">
        <v>1</v>
      </c>
      <c r="AN77" s="61">
        <f t="shared" si="59"/>
        <v>4</v>
      </c>
      <c r="AO77" s="40">
        <f t="shared" si="73"/>
        <v>0</v>
      </c>
      <c r="AP77" s="40">
        <f t="shared" si="74"/>
        <v>-1367.5838770453081</v>
      </c>
      <c r="AQ77" s="44">
        <f t="shared" si="75"/>
        <v>5470.3355081812324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3</v>
      </c>
      <c r="G78" s="35">
        <f>SUMIFS(WORKING!$AC$3:$AC$6802,WORKING!$A$3:$A$6802,Results!$D$3,WORKING!$B$3:$B$6802,Results!A78,WORKING!$C$3:$C$6802,Results!C78)/1000</f>
        <v>4149.1511099999989</v>
      </c>
      <c r="H78" s="35">
        <f t="shared" si="60"/>
        <v>1383.0503699999997</v>
      </c>
      <c r="I78" s="187">
        <v>3</v>
      </c>
      <c r="J78" s="212">
        <v>3943</v>
      </c>
      <c r="K78" s="217">
        <f t="shared" si="61"/>
        <v>1314.3333333333333</v>
      </c>
      <c r="L78" s="34">
        <f t="shared" si="54"/>
        <v>3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1377.8022627280645</v>
      </c>
      <c r="N78" s="57">
        <v>0</v>
      </c>
      <c r="O78" s="57">
        <v>0</v>
      </c>
      <c r="P78" s="61">
        <f t="shared" si="55"/>
        <v>3</v>
      </c>
      <c r="Q78" s="40">
        <f t="shared" si="62"/>
        <v>0</v>
      </c>
      <c r="R78" s="40">
        <f t="shared" si="63"/>
        <v>0</v>
      </c>
      <c r="S78" s="44">
        <f t="shared" si="64"/>
        <v>4133.4067881841938</v>
      </c>
      <c r="T78" s="35">
        <f t="shared" si="65"/>
        <v>3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1482.0873780186309</v>
      </c>
      <c r="V78" s="57">
        <v>0</v>
      </c>
      <c r="W78" s="57">
        <v>0</v>
      </c>
      <c r="X78" s="61">
        <f t="shared" si="56"/>
        <v>3</v>
      </c>
      <c r="Y78" s="40">
        <f t="shared" si="66"/>
        <v>0</v>
      </c>
      <c r="Z78" s="40">
        <f t="shared" si="67"/>
        <v>0</v>
      </c>
      <c r="AA78" s="44">
        <f t="shared" si="68"/>
        <v>4446.2621340558926</v>
      </c>
      <c r="AB78" s="35">
        <f t="shared" si="69"/>
        <v>3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1592.7617535098773</v>
      </c>
      <c r="AD78" s="57">
        <v>0</v>
      </c>
      <c r="AE78" s="57">
        <v>0</v>
      </c>
      <c r="AF78" s="61">
        <f t="shared" si="57"/>
        <v>3</v>
      </c>
      <c r="AG78" s="40">
        <f t="shared" si="70"/>
        <v>0</v>
      </c>
      <c r="AH78" s="40">
        <f t="shared" si="71"/>
        <v>0</v>
      </c>
      <c r="AI78" s="44">
        <f t="shared" si="72"/>
        <v>4778.2852605296321</v>
      </c>
      <c r="AJ78" s="35">
        <f t="shared" si="58"/>
        <v>3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1708.4680270380527</v>
      </c>
      <c r="AL78" s="57">
        <v>0</v>
      </c>
      <c r="AM78" s="57">
        <v>0</v>
      </c>
      <c r="AN78" s="61">
        <f t="shared" si="59"/>
        <v>3</v>
      </c>
      <c r="AO78" s="40">
        <f t="shared" si="73"/>
        <v>0</v>
      </c>
      <c r="AP78" s="40">
        <f t="shared" si="74"/>
        <v>0</v>
      </c>
      <c r="AQ78" s="44">
        <f t="shared" si="75"/>
        <v>5125.4040811141585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4</v>
      </c>
      <c r="G79" s="35">
        <f>SUMIFS(WORKING!$AC$3:$AC$6802,WORKING!$A$3:$A$6802,Results!$D$3,WORKING!$B$3:$B$6802,Results!A79,WORKING!$C$3:$C$6802,Results!C79)/1000</f>
        <v>7691.4972999999991</v>
      </c>
      <c r="H79" s="35">
        <f t="shared" si="60"/>
        <v>1922.8743249999998</v>
      </c>
      <c r="I79" s="187">
        <v>2</v>
      </c>
      <c r="J79" s="212">
        <v>3314</v>
      </c>
      <c r="K79" s="217">
        <f t="shared" si="61"/>
        <v>1657</v>
      </c>
      <c r="L79" s="34">
        <f t="shared" si="54"/>
        <v>2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1737.3020708045281</v>
      </c>
      <c r="N79" s="57">
        <v>0</v>
      </c>
      <c r="O79" s="57">
        <v>0</v>
      </c>
      <c r="P79" s="61">
        <f t="shared" si="55"/>
        <v>2</v>
      </c>
      <c r="Q79" s="40">
        <f t="shared" si="62"/>
        <v>0</v>
      </c>
      <c r="R79" s="40">
        <f t="shared" si="63"/>
        <v>0</v>
      </c>
      <c r="S79" s="44">
        <f t="shared" si="64"/>
        <v>3474.6041416090561</v>
      </c>
      <c r="T79" s="35">
        <f t="shared" si="65"/>
        <v>2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1869.1050460541444</v>
      </c>
      <c r="V79" s="57">
        <v>0</v>
      </c>
      <c r="W79" s="57">
        <v>0</v>
      </c>
      <c r="X79" s="61">
        <f t="shared" si="56"/>
        <v>2</v>
      </c>
      <c r="Y79" s="40">
        <f t="shared" si="66"/>
        <v>0</v>
      </c>
      <c r="Z79" s="40">
        <f t="shared" si="67"/>
        <v>0</v>
      </c>
      <c r="AA79" s="44">
        <f t="shared" si="68"/>
        <v>3738.2100921082888</v>
      </c>
      <c r="AB79" s="35">
        <f t="shared" si="69"/>
        <v>2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2009.0103652594498</v>
      </c>
      <c r="AD79" s="57">
        <v>0</v>
      </c>
      <c r="AE79" s="57">
        <v>0</v>
      </c>
      <c r="AF79" s="61">
        <f t="shared" si="57"/>
        <v>2</v>
      </c>
      <c r="AG79" s="40">
        <f t="shared" si="70"/>
        <v>0</v>
      </c>
      <c r="AH79" s="40">
        <f t="shared" si="71"/>
        <v>0</v>
      </c>
      <c r="AI79" s="44">
        <f t="shared" si="72"/>
        <v>4018.0207305188997</v>
      </c>
      <c r="AJ79" s="35">
        <f t="shared" si="58"/>
        <v>2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2155.3096437358859</v>
      </c>
      <c r="AL79" s="57">
        <v>0</v>
      </c>
      <c r="AM79" s="57">
        <v>0</v>
      </c>
      <c r="AN79" s="61">
        <f t="shared" si="59"/>
        <v>2</v>
      </c>
      <c r="AO79" s="40">
        <f t="shared" si="73"/>
        <v>0</v>
      </c>
      <c r="AP79" s="40">
        <f t="shared" si="74"/>
        <v>0</v>
      </c>
      <c r="AQ79" s="44">
        <f t="shared" si="75"/>
        <v>4310.6192874717717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1</v>
      </c>
      <c r="J80" s="212">
        <v>2309</v>
      </c>
      <c r="K80" s="217">
        <f t="shared" si="61"/>
        <v>2309</v>
      </c>
      <c r="L80" s="34">
        <f t="shared" si="54"/>
        <v>1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2385.1969999999997</v>
      </c>
      <c r="N80" s="57">
        <v>0</v>
      </c>
      <c r="O80" s="57">
        <v>0</v>
      </c>
      <c r="P80" s="61">
        <f t="shared" si="55"/>
        <v>1</v>
      </c>
      <c r="Q80" s="40">
        <f t="shared" si="62"/>
        <v>0</v>
      </c>
      <c r="R80" s="40">
        <f t="shared" si="63"/>
        <v>0</v>
      </c>
      <c r="S80" s="44">
        <f t="shared" si="64"/>
        <v>2385.1969999999997</v>
      </c>
      <c r="T80" s="35">
        <f t="shared" si="65"/>
        <v>1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2528.3088199999997</v>
      </c>
      <c r="V80" s="57">
        <v>0</v>
      </c>
      <c r="W80" s="57">
        <v>0</v>
      </c>
      <c r="X80" s="61">
        <f t="shared" si="56"/>
        <v>1</v>
      </c>
      <c r="Y80" s="40">
        <f t="shared" si="66"/>
        <v>0</v>
      </c>
      <c r="Z80" s="40">
        <f t="shared" si="67"/>
        <v>0</v>
      </c>
      <c r="AA80" s="44">
        <f t="shared" si="68"/>
        <v>2528.3088199999997</v>
      </c>
      <c r="AB80" s="35">
        <f t="shared" si="69"/>
        <v>1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2677.4790403799998</v>
      </c>
      <c r="AD80" s="57">
        <v>0</v>
      </c>
      <c r="AE80" s="57">
        <v>0</v>
      </c>
      <c r="AF80" s="61">
        <f t="shared" si="57"/>
        <v>1</v>
      </c>
      <c r="AG80" s="40">
        <f t="shared" si="70"/>
        <v>0</v>
      </c>
      <c r="AH80" s="40">
        <f t="shared" si="71"/>
        <v>0</v>
      </c>
      <c r="AI80" s="44">
        <f t="shared" si="72"/>
        <v>2677.4790403799998</v>
      </c>
      <c r="AJ80" s="35">
        <f t="shared" si="58"/>
        <v>1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2830.0953456816596</v>
      </c>
      <c r="AL80" s="57">
        <v>0</v>
      </c>
      <c r="AM80" s="57">
        <v>0</v>
      </c>
      <c r="AN80" s="61">
        <f t="shared" si="59"/>
        <v>1</v>
      </c>
      <c r="AO80" s="40">
        <f t="shared" si="73"/>
        <v>0</v>
      </c>
      <c r="AP80" s="40">
        <f t="shared" si="74"/>
        <v>0</v>
      </c>
      <c r="AQ80" s="44">
        <f t="shared" si="75"/>
        <v>2830.0953456816596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756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>
        <v>1</v>
      </c>
      <c r="J81" s="212">
        <v>1902</v>
      </c>
      <c r="K81" s="217">
        <f t="shared" ref="K81:K83" si="77">IFERROR(IF(J81="",G81,J81)/IF(I81="",F81,I81),"")</f>
        <v>1902</v>
      </c>
      <c r="L81" s="34">
        <f t="shared" ref="L81:L83" si="78">IF(I81="",F81,I81)</f>
        <v>1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1964.7659999999998</v>
      </c>
      <c r="N81" s="57">
        <v>0</v>
      </c>
      <c r="O81" s="57">
        <v>0</v>
      </c>
      <c r="P81" s="61">
        <f t="shared" ref="P81:P83" si="79">-O81+L81+N81</f>
        <v>1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1964.7659999999998</v>
      </c>
      <c r="T81" s="35">
        <f t="shared" ref="T81:T83" si="83">P81</f>
        <v>1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2082.6519600000001</v>
      </c>
      <c r="V81" s="57">
        <v>0</v>
      </c>
      <c r="W81" s="57">
        <v>0</v>
      </c>
      <c r="X81" s="61">
        <f t="shared" ref="X81:X83" si="84">-W81+T81+V81</f>
        <v>1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2082.6519600000001</v>
      </c>
      <c r="AB81" s="35">
        <f t="shared" ref="AB81:AB83" si="88">X81</f>
        <v>1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2205.52842564</v>
      </c>
      <c r="AD81" s="57">
        <v>0</v>
      </c>
      <c r="AE81" s="57">
        <v>0</v>
      </c>
      <c r="AF81" s="61">
        <f t="shared" ref="AF81:AF83" si="89">-AE81+AB81+AD81</f>
        <v>1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2205.52842564</v>
      </c>
      <c r="AJ81" s="35">
        <f t="shared" ref="AJ81:AJ83" si="93">AF81</f>
        <v>1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2331.24354590148</v>
      </c>
      <c r="AL81" s="57">
        <v>0</v>
      </c>
      <c r="AM81" s="57">
        <v>0</v>
      </c>
      <c r="AN81" s="61">
        <f t="shared" ref="AN81:AN83" si="94">-AM81+AJ81+AL81</f>
        <v>1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2331.24354590148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>
        <v>19</v>
      </c>
      <c r="J83" s="213">
        <v>11540</v>
      </c>
      <c r="K83" s="217">
        <f t="shared" si="77"/>
        <v>607.36842105263156</v>
      </c>
      <c r="L83" s="34">
        <f t="shared" si="78"/>
        <v>19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627.4115789473683</v>
      </c>
      <c r="N83" s="57">
        <v>0</v>
      </c>
      <c r="O83" s="57">
        <v>0</v>
      </c>
      <c r="P83" s="61">
        <f t="shared" si="79"/>
        <v>19</v>
      </c>
      <c r="Q83" s="40">
        <f t="shared" si="80"/>
        <v>0</v>
      </c>
      <c r="R83" s="40">
        <f t="shared" si="81"/>
        <v>0</v>
      </c>
      <c r="S83" s="44">
        <f t="shared" si="82"/>
        <v>11920.819999999998</v>
      </c>
      <c r="T83" s="35">
        <f t="shared" si="83"/>
        <v>19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665.0562736842104</v>
      </c>
      <c r="V83" s="57">
        <v>0</v>
      </c>
      <c r="W83" s="57">
        <v>0</v>
      </c>
      <c r="X83" s="61">
        <f t="shared" si="84"/>
        <v>19</v>
      </c>
      <c r="Y83" s="40">
        <f t="shared" si="85"/>
        <v>0</v>
      </c>
      <c r="Z83" s="40">
        <f t="shared" si="86"/>
        <v>0</v>
      </c>
      <c r="AA83" s="44">
        <f t="shared" si="87"/>
        <v>12636.069199999998</v>
      </c>
      <c r="AB83" s="35">
        <f t="shared" si="88"/>
        <v>19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704.29459383157882</v>
      </c>
      <c r="AD83" s="57">
        <v>0</v>
      </c>
      <c r="AE83" s="57">
        <v>0</v>
      </c>
      <c r="AF83" s="61">
        <f t="shared" si="89"/>
        <v>19</v>
      </c>
      <c r="AG83" s="40">
        <f t="shared" si="90"/>
        <v>0</v>
      </c>
      <c r="AH83" s="40">
        <f t="shared" si="91"/>
        <v>0</v>
      </c>
      <c r="AI83" s="44">
        <f t="shared" si="92"/>
        <v>13381.597282799998</v>
      </c>
      <c r="AJ83" s="35">
        <f t="shared" si="93"/>
        <v>19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744.43938567997873</v>
      </c>
      <c r="AL83" s="57">
        <v>0</v>
      </c>
      <c r="AM83" s="57">
        <v>0</v>
      </c>
      <c r="AN83" s="61">
        <f t="shared" si="94"/>
        <v>19</v>
      </c>
      <c r="AO83" s="40">
        <f t="shared" si="95"/>
        <v>0</v>
      </c>
      <c r="AP83" s="40">
        <f t="shared" si="96"/>
        <v>0</v>
      </c>
      <c r="AQ83" s="44">
        <f t="shared" si="97"/>
        <v>14144.348327919595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1572</v>
      </c>
      <c r="G84" s="41">
        <f>SUM(G64:G83)</f>
        <v>321830.25074999995</v>
      </c>
      <c r="H84" s="41">
        <f>IFERROR(G84/F84,0)</f>
        <v>204.72662261450378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1014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325922.10499999998</v>
      </c>
      <c r="K84" s="41">
        <f>IFERROR(J84/I84,"")</f>
        <v>321.42219428007888</v>
      </c>
      <c r="L84" s="41">
        <f>SUM(L64:L83)</f>
        <v>1014</v>
      </c>
      <c r="M84" s="41">
        <f>IFERROR(S84/P84,0)</f>
        <v>349.60548181622943</v>
      </c>
      <c r="N84" s="41">
        <f t="shared" ref="N84:T84" si="98">SUM(N64:N83)</f>
        <v>64</v>
      </c>
      <c r="O84" s="41">
        <f t="shared" si="98"/>
        <v>85</v>
      </c>
      <c r="P84" s="41">
        <f t="shared" si="98"/>
        <v>993</v>
      </c>
      <c r="Q84" s="41">
        <f t="shared" si="98"/>
        <v>19519.217140006403</v>
      </c>
      <c r="R84" s="41">
        <f t="shared" si="98"/>
        <v>-24930.473308703495</v>
      </c>
      <c r="S84" s="45">
        <f t="shared" si="98"/>
        <v>347158.24344351585</v>
      </c>
      <c r="T84" s="41">
        <f t="shared" si="98"/>
        <v>993</v>
      </c>
      <c r="U84" s="41">
        <f>IFERROR(AA84/X84,0)</f>
        <v>377.02242734325637</v>
      </c>
      <c r="V84" s="41">
        <f t="shared" ref="V84:AB84" si="99">SUM(V64:V83)</f>
        <v>0</v>
      </c>
      <c r="W84" s="41">
        <f t="shared" si="99"/>
        <v>6</v>
      </c>
      <c r="X84" s="41">
        <f t="shared" si="99"/>
        <v>987</v>
      </c>
      <c r="Y84" s="41">
        <f t="shared" si="99"/>
        <v>0</v>
      </c>
      <c r="Z84" s="41">
        <f t="shared" si="99"/>
        <v>-3801.7697513666976</v>
      </c>
      <c r="AA84" s="45">
        <f t="shared" si="99"/>
        <v>372121.13578779402</v>
      </c>
      <c r="AB84" s="41">
        <f t="shared" si="99"/>
        <v>987</v>
      </c>
      <c r="AC84" s="41">
        <f>IFERROR(AI84/AF84,0)</f>
        <v>405.31927635461892</v>
      </c>
      <c r="AD84" s="41">
        <f t="shared" ref="AD84:AJ84" si="100">SUM(AD64:AD83)</f>
        <v>0</v>
      </c>
      <c r="AE84" s="41">
        <f t="shared" si="100"/>
        <v>8</v>
      </c>
      <c r="AF84" s="41">
        <f t="shared" si="100"/>
        <v>979</v>
      </c>
      <c r="AG84" s="41">
        <f t="shared" si="100"/>
        <v>0</v>
      </c>
      <c r="AH84" s="41">
        <f t="shared" si="100"/>
        <v>-5782.9397776994447</v>
      </c>
      <c r="AI84" s="45">
        <f t="shared" si="100"/>
        <v>396807.57155117195</v>
      </c>
      <c r="AJ84" s="41">
        <f t="shared" si="100"/>
        <v>979</v>
      </c>
      <c r="AK84" s="41">
        <f>IFERROR(AQ84/AN84,0)</f>
        <v>432.89918097165838</v>
      </c>
      <c r="AL84" s="41">
        <f t="shared" ref="AL84:AQ84" si="101">SUM(AL64:AL83)</f>
        <v>0</v>
      </c>
      <c r="AM84" s="41">
        <f t="shared" si="101"/>
        <v>25</v>
      </c>
      <c r="AN84" s="41">
        <f t="shared" si="101"/>
        <v>954</v>
      </c>
      <c r="AO84" s="41">
        <f t="shared" si="101"/>
        <v>0</v>
      </c>
      <c r="AP84" s="41">
        <f t="shared" si="101"/>
        <v>-15531.832702186435</v>
      </c>
      <c r="AQ84" s="45">
        <f t="shared" si="101"/>
        <v>412985.81864696211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378796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388862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407559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438533.48400000005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31637.75655648415</v>
      </c>
      <c r="T86" s="39"/>
      <c r="U86" s="39"/>
      <c r="V86" s="53"/>
      <c r="W86" s="53"/>
      <c r="X86" s="110"/>
      <c r="Y86" s="39"/>
      <c r="Z86" s="39"/>
      <c r="AA86" s="54">
        <f>AA85-AA84</f>
        <v>16740.864212205983</v>
      </c>
      <c r="AB86" s="39"/>
      <c r="AC86" s="53"/>
      <c r="AD86" s="53"/>
      <c r="AE86" s="110"/>
      <c r="AF86" s="39"/>
      <c r="AG86" s="39"/>
      <c r="AH86" s="39"/>
      <c r="AI86" s="54">
        <f>AI85-AI84</f>
        <v>10751.428448828054</v>
      </c>
      <c r="AJ86" s="53"/>
      <c r="AK86" s="53"/>
      <c r="AL86" s="110"/>
      <c r="AM86" s="110"/>
      <c r="AN86" s="110"/>
      <c r="AO86" s="110"/>
      <c r="AP86" s="111"/>
      <c r="AQ86" s="54">
        <f>AQ85-AQ84</f>
        <v>25547.665353037941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Inspection and Enforcement Services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16</v>
      </c>
      <c r="G94" s="35">
        <f>SUMIFS(WORKING!$AC$3:$AC$6802,WORKING!$A$3:$A$6802,Results!$D$3,WORKING!$B$3:$B$6802,Results!A94,WORKING!$C$3:$C$6802,Results!C94)/1000</f>
        <v>1924.34969</v>
      </c>
      <c r="H94" s="35">
        <f t="shared" si="108"/>
        <v>120.271855625</v>
      </c>
      <c r="I94" s="187">
        <v>18</v>
      </c>
      <c r="J94" s="212">
        <v>2258</v>
      </c>
      <c r="K94" s="217">
        <f t="shared" si="109"/>
        <v>125.44444444444444</v>
      </c>
      <c r="L94" s="34">
        <f t="shared" si="102"/>
        <v>18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137.00013010119346</v>
      </c>
      <c r="N94" s="57">
        <v>4</v>
      </c>
      <c r="O94" s="57">
        <v>0</v>
      </c>
      <c r="P94" s="61">
        <f t="shared" si="103"/>
        <v>22</v>
      </c>
      <c r="Q94" s="40">
        <f t="shared" si="110"/>
        <v>548.00052040477385</v>
      </c>
      <c r="R94" s="40">
        <f t="shared" si="111"/>
        <v>0</v>
      </c>
      <c r="S94" s="44">
        <f t="shared" si="112"/>
        <v>3014.0028622262562</v>
      </c>
      <c r="T94" s="35">
        <f t="shared" si="113"/>
        <v>22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148.7870437821428</v>
      </c>
      <c r="V94" s="57">
        <v>0</v>
      </c>
      <c r="W94" s="57">
        <v>0</v>
      </c>
      <c r="X94" s="61">
        <f t="shared" si="104"/>
        <v>22</v>
      </c>
      <c r="Y94" s="40">
        <f t="shared" si="114"/>
        <v>0</v>
      </c>
      <c r="Z94" s="40">
        <f t="shared" si="115"/>
        <v>0</v>
      </c>
      <c r="AA94" s="44">
        <f t="shared" si="116"/>
        <v>3273.3149632071418</v>
      </c>
      <c r="AB94" s="35">
        <f t="shared" si="117"/>
        <v>22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161.4370439527153</v>
      </c>
      <c r="AD94" s="57">
        <v>0</v>
      </c>
      <c r="AE94" s="57">
        <v>0</v>
      </c>
      <c r="AF94" s="61">
        <f t="shared" si="105"/>
        <v>22</v>
      </c>
      <c r="AG94" s="40">
        <f t="shared" si="118"/>
        <v>0</v>
      </c>
      <c r="AH94" s="40">
        <f t="shared" si="119"/>
        <v>0</v>
      </c>
      <c r="AI94" s="44">
        <f t="shared" si="120"/>
        <v>3551.6149669597366</v>
      </c>
      <c r="AJ94" s="35">
        <f t="shared" si="106"/>
        <v>22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174.83486009759019</v>
      </c>
      <c r="AL94" s="57">
        <v>0</v>
      </c>
      <c r="AM94" s="57">
        <v>0</v>
      </c>
      <c r="AN94" s="61">
        <f t="shared" si="107"/>
        <v>22</v>
      </c>
      <c r="AO94" s="40">
        <f t="shared" si="121"/>
        <v>0</v>
      </c>
      <c r="AP94" s="40">
        <f t="shared" si="122"/>
        <v>0</v>
      </c>
      <c r="AQ94" s="44">
        <f t="shared" si="123"/>
        <v>3846.3669221469845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1.4733700000000001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108</v>
      </c>
      <c r="G96" s="35">
        <f>SUMIFS(WORKING!$AC$3:$AC$6802,WORKING!$A$3:$A$6802,Results!$D$3,WORKING!$B$3:$B$6802,Results!A96,WORKING!$C$3:$C$6802,Results!C96)/1000</f>
        <v>13855.129080000008</v>
      </c>
      <c r="H96" s="35">
        <f t="shared" si="108"/>
        <v>128.28823222222229</v>
      </c>
      <c r="I96" s="187">
        <v>74</v>
      </c>
      <c r="J96" s="212">
        <v>15407</v>
      </c>
      <c r="K96" s="217">
        <f t="shared" si="109"/>
        <v>208.20270270270271</v>
      </c>
      <c r="L96" s="34">
        <f t="shared" si="102"/>
        <v>74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226.14244716066003</v>
      </c>
      <c r="N96" s="57">
        <v>4</v>
      </c>
      <c r="O96" s="57">
        <v>6</v>
      </c>
      <c r="P96" s="61">
        <f t="shared" si="103"/>
        <v>72</v>
      </c>
      <c r="Q96" s="40">
        <f t="shared" si="110"/>
        <v>904.56978864264011</v>
      </c>
      <c r="R96" s="40">
        <f t="shared" si="111"/>
        <v>-1356.8546829639602</v>
      </c>
      <c r="S96" s="44">
        <f t="shared" si="112"/>
        <v>16282.256195567523</v>
      </c>
      <c r="T96" s="35">
        <f t="shared" si="113"/>
        <v>72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245.21648714361248</v>
      </c>
      <c r="V96" s="57">
        <v>0</v>
      </c>
      <c r="W96" s="57">
        <v>0</v>
      </c>
      <c r="X96" s="61">
        <f t="shared" si="104"/>
        <v>72</v>
      </c>
      <c r="Y96" s="40">
        <f t="shared" si="114"/>
        <v>0</v>
      </c>
      <c r="Z96" s="40">
        <f t="shared" si="115"/>
        <v>0</v>
      </c>
      <c r="AA96" s="44">
        <f t="shared" si="116"/>
        <v>17655.587074340099</v>
      </c>
      <c r="AB96" s="35">
        <f t="shared" si="117"/>
        <v>72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265.6509224011225</v>
      </c>
      <c r="AD96" s="57">
        <v>0</v>
      </c>
      <c r="AE96" s="57">
        <v>0</v>
      </c>
      <c r="AF96" s="61">
        <f t="shared" si="105"/>
        <v>72</v>
      </c>
      <c r="AG96" s="40">
        <f t="shared" si="118"/>
        <v>0</v>
      </c>
      <c r="AH96" s="40">
        <f t="shared" si="119"/>
        <v>0</v>
      </c>
      <c r="AI96" s="44">
        <f t="shared" si="120"/>
        <v>19126.86641288082</v>
      </c>
      <c r="AJ96" s="35">
        <f t="shared" si="106"/>
        <v>72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287.24998501907368</v>
      </c>
      <c r="AL96" s="57">
        <v>0</v>
      </c>
      <c r="AM96" s="57">
        <v>1</v>
      </c>
      <c r="AN96" s="61">
        <f t="shared" si="107"/>
        <v>71</v>
      </c>
      <c r="AO96" s="40">
        <f t="shared" si="121"/>
        <v>0</v>
      </c>
      <c r="AP96" s="40">
        <f t="shared" si="122"/>
        <v>-287.24998501907368</v>
      </c>
      <c r="AQ96" s="44">
        <f t="shared" si="123"/>
        <v>20394.74893635423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1688</v>
      </c>
      <c r="G97" s="35">
        <f>SUMIFS(WORKING!$AC$3:$AC$6802,WORKING!$A$3:$A$6802,Results!$D$3,WORKING!$B$3:$B$6802,Results!A97,WORKING!$C$3:$C$6802,Results!C97)/1000</f>
        <v>139130.85078000004</v>
      </c>
      <c r="H97" s="35">
        <f t="shared" si="108"/>
        <v>82.423489798578217</v>
      </c>
      <c r="I97" s="187">
        <v>589</v>
      </c>
      <c r="J97" s="212">
        <v>141387</v>
      </c>
      <c r="K97" s="217">
        <f t="shared" si="109"/>
        <v>240.04584040747028</v>
      </c>
      <c r="L97" s="34">
        <f t="shared" si="102"/>
        <v>589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260.96809128593731</v>
      </c>
      <c r="N97" s="57">
        <v>47</v>
      </c>
      <c r="O97" s="57">
        <v>33</v>
      </c>
      <c r="P97" s="61">
        <f t="shared" si="103"/>
        <v>603</v>
      </c>
      <c r="Q97" s="40">
        <f t="shared" si="110"/>
        <v>12265.500290439053</v>
      </c>
      <c r="R97" s="40">
        <f t="shared" si="111"/>
        <v>-8611.9470124359304</v>
      </c>
      <c r="S97" s="44">
        <f t="shared" si="112"/>
        <v>157363.75904542019</v>
      </c>
      <c r="T97" s="35">
        <f t="shared" si="113"/>
        <v>603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283.05306635611618</v>
      </c>
      <c r="V97" s="57">
        <v>0</v>
      </c>
      <c r="W97" s="57">
        <v>0</v>
      </c>
      <c r="X97" s="61">
        <f t="shared" si="104"/>
        <v>603</v>
      </c>
      <c r="Y97" s="40">
        <f t="shared" si="114"/>
        <v>0</v>
      </c>
      <c r="Z97" s="40">
        <f t="shared" si="115"/>
        <v>0</v>
      </c>
      <c r="AA97" s="44">
        <f t="shared" si="116"/>
        <v>170680.99901273806</v>
      </c>
      <c r="AB97" s="35">
        <f t="shared" si="117"/>
        <v>603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306.72022614438083</v>
      </c>
      <c r="AD97" s="57">
        <v>0</v>
      </c>
      <c r="AE97" s="57">
        <v>1</v>
      </c>
      <c r="AF97" s="61">
        <f t="shared" si="105"/>
        <v>602</v>
      </c>
      <c r="AG97" s="40">
        <f t="shared" si="118"/>
        <v>0</v>
      </c>
      <c r="AH97" s="40">
        <f t="shared" si="119"/>
        <v>-306.72022614438083</v>
      </c>
      <c r="AI97" s="44">
        <f t="shared" si="120"/>
        <v>184645.57613891727</v>
      </c>
      <c r="AJ97" s="35">
        <f t="shared" si="106"/>
        <v>602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331.74472141137608</v>
      </c>
      <c r="AL97" s="57">
        <v>0</v>
      </c>
      <c r="AM97" s="57">
        <v>3</v>
      </c>
      <c r="AN97" s="61">
        <f t="shared" si="107"/>
        <v>599</v>
      </c>
      <c r="AO97" s="40">
        <f t="shared" si="121"/>
        <v>0</v>
      </c>
      <c r="AP97" s="40">
        <f t="shared" si="122"/>
        <v>-995.23416423412823</v>
      </c>
      <c r="AQ97" s="44">
        <f t="shared" si="123"/>
        <v>198715.08812541427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224</v>
      </c>
      <c r="G98" s="35">
        <f>SUMIFS(WORKING!$AC$3:$AC$6802,WORKING!$A$3:$A$6802,Results!$D$3,WORKING!$B$3:$B$6802,Results!A98,WORKING!$C$3:$C$6802,Results!C98)/1000</f>
        <v>27150.826869999994</v>
      </c>
      <c r="H98" s="35">
        <f t="shared" si="108"/>
        <v>121.20904852678568</v>
      </c>
      <c r="I98" s="187">
        <v>84</v>
      </c>
      <c r="J98" s="212">
        <v>24805</v>
      </c>
      <c r="K98" s="217">
        <f t="shared" si="109"/>
        <v>295.29761904761904</v>
      </c>
      <c r="L98" s="34">
        <f t="shared" si="102"/>
        <v>84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321.41881463503626</v>
      </c>
      <c r="N98" s="57">
        <v>9</v>
      </c>
      <c r="O98" s="57">
        <v>8</v>
      </c>
      <c r="P98" s="61">
        <f t="shared" si="103"/>
        <v>85</v>
      </c>
      <c r="Q98" s="40">
        <f t="shared" si="110"/>
        <v>2892.7693317153262</v>
      </c>
      <c r="R98" s="40">
        <f t="shared" si="111"/>
        <v>-2571.35051708029</v>
      </c>
      <c r="S98" s="44">
        <f t="shared" si="112"/>
        <v>27320.599243978082</v>
      </c>
      <c r="T98" s="35">
        <f t="shared" si="113"/>
        <v>85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348.73824727627147</v>
      </c>
      <c r="V98" s="57">
        <v>0</v>
      </c>
      <c r="W98" s="57">
        <v>0</v>
      </c>
      <c r="X98" s="61">
        <f t="shared" si="104"/>
        <v>85</v>
      </c>
      <c r="Y98" s="40">
        <f t="shared" si="114"/>
        <v>0</v>
      </c>
      <c r="Z98" s="40">
        <f t="shared" si="115"/>
        <v>0</v>
      </c>
      <c r="AA98" s="44">
        <f t="shared" si="116"/>
        <v>29642.751018483075</v>
      </c>
      <c r="AB98" s="35">
        <f t="shared" si="117"/>
        <v>85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378.02624327373434</v>
      </c>
      <c r="AD98" s="57">
        <v>0</v>
      </c>
      <c r="AE98" s="57">
        <v>1</v>
      </c>
      <c r="AF98" s="61">
        <f t="shared" si="105"/>
        <v>84</v>
      </c>
      <c r="AG98" s="40">
        <f t="shared" si="118"/>
        <v>0</v>
      </c>
      <c r="AH98" s="40">
        <f t="shared" si="119"/>
        <v>-378.02624327373434</v>
      </c>
      <c r="AI98" s="44">
        <f t="shared" si="120"/>
        <v>31754.204434993684</v>
      </c>
      <c r="AJ98" s="35">
        <f t="shared" si="106"/>
        <v>84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409.00757310883085</v>
      </c>
      <c r="AL98" s="57">
        <v>0</v>
      </c>
      <c r="AM98" s="57">
        <v>2</v>
      </c>
      <c r="AN98" s="61">
        <f t="shared" si="107"/>
        <v>82</v>
      </c>
      <c r="AO98" s="40">
        <f t="shared" si="121"/>
        <v>0</v>
      </c>
      <c r="AP98" s="40">
        <f t="shared" si="122"/>
        <v>-818.01514621766171</v>
      </c>
      <c r="AQ98" s="44">
        <f t="shared" si="123"/>
        <v>33538.620994924131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731</v>
      </c>
      <c r="G99" s="35">
        <f>SUMIFS(WORKING!$AC$3:$AC$6802,WORKING!$A$3:$A$6802,Results!$D$3,WORKING!$B$3:$B$6802,Results!A99,WORKING!$C$3:$C$6802,Results!C99)/1000</f>
        <v>121059.84519999998</v>
      </c>
      <c r="H99" s="35">
        <f t="shared" si="108"/>
        <v>165.60854336525304</v>
      </c>
      <c r="I99" s="187">
        <v>321</v>
      </c>
      <c r="J99" s="212">
        <v>116272</v>
      </c>
      <c r="K99" s="217">
        <f t="shared" si="109"/>
        <v>362.21806853582552</v>
      </c>
      <c r="L99" s="34">
        <f t="shared" si="102"/>
        <v>321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394.43778350844622</v>
      </c>
      <c r="N99" s="57">
        <v>25</v>
      </c>
      <c r="O99" s="57">
        <v>50</v>
      </c>
      <c r="P99" s="61">
        <f t="shared" si="103"/>
        <v>296</v>
      </c>
      <c r="Q99" s="40">
        <f t="shared" si="110"/>
        <v>9860.9445877111557</v>
      </c>
      <c r="R99" s="40">
        <f t="shared" si="111"/>
        <v>-19721.889175422311</v>
      </c>
      <c r="S99" s="44">
        <f t="shared" si="112"/>
        <v>116753.58391850008</v>
      </c>
      <c r="T99" s="35">
        <f t="shared" si="113"/>
        <v>296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428.02003562913626</v>
      </c>
      <c r="V99" s="57">
        <v>42</v>
      </c>
      <c r="W99" s="57">
        <v>1</v>
      </c>
      <c r="X99" s="61">
        <f t="shared" si="104"/>
        <v>337</v>
      </c>
      <c r="Y99" s="40">
        <f t="shared" si="114"/>
        <v>17976.841496423724</v>
      </c>
      <c r="Z99" s="40">
        <f t="shared" si="115"/>
        <v>-428.02003562913626</v>
      </c>
      <c r="AA99" s="44">
        <f t="shared" si="116"/>
        <v>144242.75200701892</v>
      </c>
      <c r="AB99" s="35">
        <f t="shared" si="117"/>
        <v>337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464.02750388823239</v>
      </c>
      <c r="AD99" s="57">
        <v>0</v>
      </c>
      <c r="AE99" s="57">
        <v>4</v>
      </c>
      <c r="AF99" s="61">
        <f t="shared" si="105"/>
        <v>333</v>
      </c>
      <c r="AG99" s="40">
        <f t="shared" si="118"/>
        <v>0</v>
      </c>
      <c r="AH99" s="40">
        <f t="shared" si="119"/>
        <v>-1856.1100155529296</v>
      </c>
      <c r="AI99" s="44">
        <f t="shared" si="120"/>
        <v>154521.1587947814</v>
      </c>
      <c r="AJ99" s="35">
        <f t="shared" si="106"/>
        <v>333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502.12318678698978</v>
      </c>
      <c r="AL99" s="57">
        <v>0</v>
      </c>
      <c r="AM99" s="57">
        <v>12</v>
      </c>
      <c r="AN99" s="61">
        <f t="shared" si="107"/>
        <v>321</v>
      </c>
      <c r="AO99" s="40">
        <f t="shared" si="121"/>
        <v>0</v>
      </c>
      <c r="AP99" s="40">
        <f t="shared" si="122"/>
        <v>-6025.4782414438778</v>
      </c>
      <c r="AQ99" s="44">
        <f t="shared" si="123"/>
        <v>161181.54295862373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16</v>
      </c>
      <c r="G100" s="35">
        <f>SUMIFS(WORKING!$AC$3:$AC$6802,WORKING!$A$3:$A$6802,Results!$D$3,WORKING!$B$3:$B$6802,Results!A100,WORKING!$C$3:$C$6802,Results!C100)/1000</f>
        <v>4455.7553500000004</v>
      </c>
      <c r="H100" s="35">
        <f t="shared" si="108"/>
        <v>278.48470937500002</v>
      </c>
      <c r="I100" s="187">
        <v>12</v>
      </c>
      <c r="J100" s="212">
        <v>4868</v>
      </c>
      <c r="K100" s="217">
        <f t="shared" si="109"/>
        <v>405.66666666666669</v>
      </c>
      <c r="L100" s="34">
        <f t="shared" si="102"/>
        <v>12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441.91564114370522</v>
      </c>
      <c r="N100" s="57">
        <v>2</v>
      </c>
      <c r="O100" s="57">
        <v>2</v>
      </c>
      <c r="P100" s="61">
        <f t="shared" si="103"/>
        <v>12</v>
      </c>
      <c r="Q100" s="40">
        <f t="shared" si="110"/>
        <v>883.83128228741043</v>
      </c>
      <c r="R100" s="40">
        <f t="shared" si="111"/>
        <v>-883.83128228741043</v>
      </c>
      <c r="S100" s="44">
        <f t="shared" si="112"/>
        <v>5302.9876937244626</v>
      </c>
      <c r="T100" s="35">
        <f t="shared" si="113"/>
        <v>12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479.59121386641766</v>
      </c>
      <c r="V100" s="57">
        <v>0</v>
      </c>
      <c r="W100" s="57">
        <v>0</v>
      </c>
      <c r="X100" s="61">
        <f t="shared" si="104"/>
        <v>12</v>
      </c>
      <c r="Y100" s="40">
        <f t="shared" si="114"/>
        <v>0</v>
      </c>
      <c r="Z100" s="40">
        <f t="shared" si="115"/>
        <v>0</v>
      </c>
      <c r="AA100" s="44">
        <f t="shared" si="116"/>
        <v>5755.0945663970124</v>
      </c>
      <c r="AB100" s="35">
        <f t="shared" si="117"/>
        <v>12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519.9925104822297</v>
      </c>
      <c r="AD100" s="57">
        <v>0</v>
      </c>
      <c r="AE100" s="57">
        <v>0</v>
      </c>
      <c r="AF100" s="61">
        <f t="shared" si="105"/>
        <v>12</v>
      </c>
      <c r="AG100" s="40">
        <f t="shared" si="118"/>
        <v>0</v>
      </c>
      <c r="AH100" s="40">
        <f t="shared" si="119"/>
        <v>0</v>
      </c>
      <c r="AI100" s="44">
        <f t="shared" si="120"/>
        <v>6239.9101257867569</v>
      </c>
      <c r="AJ100" s="35">
        <f t="shared" si="106"/>
        <v>12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562.74269887321145</v>
      </c>
      <c r="AL100" s="57">
        <v>0</v>
      </c>
      <c r="AM100" s="57">
        <v>0</v>
      </c>
      <c r="AN100" s="61">
        <f t="shared" si="107"/>
        <v>12</v>
      </c>
      <c r="AO100" s="40">
        <f t="shared" si="121"/>
        <v>0</v>
      </c>
      <c r="AP100" s="40">
        <f t="shared" si="122"/>
        <v>0</v>
      </c>
      <c r="AQ100" s="44">
        <f t="shared" si="123"/>
        <v>6752.9123864785379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61</v>
      </c>
      <c r="G101" s="35">
        <f>SUMIFS(WORKING!$AC$3:$AC$6802,WORKING!$A$3:$A$6802,Results!$D$3,WORKING!$B$3:$B$6802,Results!A101,WORKING!$C$3:$C$6802,Results!C101)/1000</f>
        <v>21722.105190000002</v>
      </c>
      <c r="H101" s="35">
        <f t="shared" si="108"/>
        <v>356.10008508196722</v>
      </c>
      <c r="I101" s="187">
        <v>40</v>
      </c>
      <c r="J101" s="212">
        <v>19605</v>
      </c>
      <c r="K101" s="217">
        <f t="shared" si="109"/>
        <v>490.125</v>
      </c>
      <c r="L101" s="34">
        <f t="shared" si="102"/>
        <v>40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534.08958436076125</v>
      </c>
      <c r="N101" s="57">
        <v>4</v>
      </c>
      <c r="O101" s="57">
        <v>4</v>
      </c>
      <c r="P101" s="61">
        <f t="shared" si="103"/>
        <v>40</v>
      </c>
      <c r="Q101" s="40">
        <f t="shared" si="110"/>
        <v>2136.358337443045</v>
      </c>
      <c r="R101" s="40">
        <f t="shared" si="111"/>
        <v>-2136.358337443045</v>
      </c>
      <c r="S101" s="44">
        <f t="shared" si="112"/>
        <v>21363.583374430451</v>
      </c>
      <c r="T101" s="35">
        <f t="shared" si="113"/>
        <v>40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579.6764332365766</v>
      </c>
      <c r="V101" s="57">
        <v>0</v>
      </c>
      <c r="W101" s="57">
        <v>0</v>
      </c>
      <c r="X101" s="61">
        <f t="shared" si="104"/>
        <v>40</v>
      </c>
      <c r="Y101" s="40">
        <f t="shared" si="114"/>
        <v>0</v>
      </c>
      <c r="Z101" s="40">
        <f t="shared" si="115"/>
        <v>0</v>
      </c>
      <c r="AA101" s="44">
        <f t="shared" si="116"/>
        <v>23187.057329463063</v>
      </c>
      <c r="AB101" s="35">
        <f t="shared" si="117"/>
        <v>40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628.5664272268441</v>
      </c>
      <c r="AD101" s="57">
        <v>0</v>
      </c>
      <c r="AE101" s="57">
        <v>0</v>
      </c>
      <c r="AF101" s="61">
        <f t="shared" si="105"/>
        <v>40</v>
      </c>
      <c r="AG101" s="40">
        <f t="shared" si="118"/>
        <v>0</v>
      </c>
      <c r="AH101" s="40">
        <f t="shared" si="119"/>
        <v>0</v>
      </c>
      <c r="AI101" s="44">
        <f t="shared" si="120"/>
        <v>25142.657089073764</v>
      </c>
      <c r="AJ101" s="35">
        <f t="shared" si="106"/>
        <v>40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680.30486708604133</v>
      </c>
      <c r="AL101" s="57">
        <v>0</v>
      </c>
      <c r="AM101" s="57">
        <v>2</v>
      </c>
      <c r="AN101" s="61">
        <f t="shared" si="107"/>
        <v>38</v>
      </c>
      <c r="AO101" s="40">
        <f t="shared" si="121"/>
        <v>0</v>
      </c>
      <c r="AP101" s="40">
        <f t="shared" si="122"/>
        <v>-1360.6097341720827</v>
      </c>
      <c r="AQ101" s="44">
        <f t="shared" si="123"/>
        <v>25851.584949269571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</v>
      </c>
      <c r="G102" s="35">
        <f>SUMIFS(WORKING!$AC$3:$AC$6802,WORKING!$A$3:$A$6802,Results!$D$3,WORKING!$B$3:$B$6802,Results!A102,WORKING!$C$3:$C$6802,Results!C102)/1000</f>
        <v>121.78194000000002</v>
      </c>
      <c r="H102" s="35">
        <f t="shared" si="108"/>
        <v>121.78194000000002</v>
      </c>
      <c r="I102" s="187">
        <v>1</v>
      </c>
      <c r="J102" s="212">
        <v>812</v>
      </c>
      <c r="K102" s="217">
        <f t="shared" si="109"/>
        <v>812</v>
      </c>
      <c r="L102" s="34">
        <f t="shared" si="102"/>
        <v>1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886.44421819262857</v>
      </c>
      <c r="N102" s="57">
        <v>1</v>
      </c>
      <c r="O102" s="57">
        <v>0</v>
      </c>
      <c r="P102" s="61">
        <f t="shared" si="103"/>
        <v>2</v>
      </c>
      <c r="Q102" s="40">
        <f t="shared" si="110"/>
        <v>886.44421819262857</v>
      </c>
      <c r="R102" s="40">
        <f t="shared" si="111"/>
        <v>0</v>
      </c>
      <c r="S102" s="44">
        <f t="shared" si="112"/>
        <v>1772.8884363852571</v>
      </c>
      <c r="T102" s="35">
        <f t="shared" si="113"/>
        <v>2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962.3173157800743</v>
      </c>
      <c r="V102" s="57">
        <v>0</v>
      </c>
      <c r="W102" s="57">
        <v>0</v>
      </c>
      <c r="X102" s="61">
        <f t="shared" si="104"/>
        <v>2</v>
      </c>
      <c r="Y102" s="40">
        <f t="shared" si="114"/>
        <v>0</v>
      </c>
      <c r="Z102" s="40">
        <f t="shared" si="115"/>
        <v>0</v>
      </c>
      <c r="AA102" s="44">
        <f t="shared" si="116"/>
        <v>1924.6346315601486</v>
      </c>
      <c r="AB102" s="35">
        <f t="shared" si="117"/>
        <v>2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1043.7082510759262</v>
      </c>
      <c r="AD102" s="57">
        <v>0</v>
      </c>
      <c r="AE102" s="57">
        <v>0</v>
      </c>
      <c r="AF102" s="61">
        <f t="shared" si="105"/>
        <v>2</v>
      </c>
      <c r="AG102" s="40">
        <f t="shared" si="118"/>
        <v>0</v>
      </c>
      <c r="AH102" s="40">
        <f t="shared" si="119"/>
        <v>0</v>
      </c>
      <c r="AI102" s="44">
        <f t="shared" si="120"/>
        <v>2087.4165021518525</v>
      </c>
      <c r="AJ102" s="35">
        <f t="shared" si="106"/>
        <v>2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1129.8652385883333</v>
      </c>
      <c r="AL102" s="57">
        <v>0</v>
      </c>
      <c r="AM102" s="57">
        <v>0</v>
      </c>
      <c r="AN102" s="61">
        <f t="shared" si="107"/>
        <v>2</v>
      </c>
      <c r="AO102" s="40">
        <f t="shared" si="121"/>
        <v>0</v>
      </c>
      <c r="AP102" s="40">
        <f t="shared" si="122"/>
        <v>0</v>
      </c>
      <c r="AQ102" s="44">
        <f t="shared" si="123"/>
        <v>2259.7304771766667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141</v>
      </c>
      <c r="G103" s="35">
        <f>SUMIFS(WORKING!$AC$3:$AC$6802,WORKING!$A$3:$A$6802,Results!$D$3,WORKING!$B$3:$B$6802,Results!A103,WORKING!$C$3:$C$6802,Results!C103)/1000</f>
        <v>33700.96989</v>
      </c>
      <c r="H103" s="35">
        <f t="shared" si="108"/>
        <v>239.01397085106385</v>
      </c>
      <c r="I103" s="187">
        <v>51</v>
      </c>
      <c r="J103" s="212">
        <v>35869</v>
      </c>
      <c r="K103" s="217">
        <f t="shared" si="109"/>
        <v>703.31372549019613</v>
      </c>
      <c r="L103" s="34">
        <f t="shared" si="102"/>
        <v>51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767.83818769054267</v>
      </c>
      <c r="N103" s="57">
        <v>5</v>
      </c>
      <c r="O103" s="57">
        <v>5</v>
      </c>
      <c r="P103" s="61">
        <f t="shared" si="103"/>
        <v>51</v>
      </c>
      <c r="Q103" s="40">
        <f t="shared" si="110"/>
        <v>3839.1909384527135</v>
      </c>
      <c r="R103" s="40">
        <f t="shared" si="111"/>
        <v>-3839.1909384527135</v>
      </c>
      <c r="S103" s="44">
        <f t="shared" si="112"/>
        <v>39159.747572217675</v>
      </c>
      <c r="T103" s="35">
        <f t="shared" si="113"/>
        <v>51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833.60791294109413</v>
      </c>
      <c r="V103" s="57">
        <v>0</v>
      </c>
      <c r="W103" s="57">
        <v>0</v>
      </c>
      <c r="X103" s="61">
        <f t="shared" si="104"/>
        <v>51</v>
      </c>
      <c r="Y103" s="40">
        <f t="shared" si="114"/>
        <v>0</v>
      </c>
      <c r="Z103" s="40">
        <f t="shared" si="115"/>
        <v>0</v>
      </c>
      <c r="AA103" s="44">
        <f t="shared" si="116"/>
        <v>42514.003559995799</v>
      </c>
      <c r="AB103" s="35">
        <f t="shared" si="117"/>
        <v>51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904.16538586352749</v>
      </c>
      <c r="AD103" s="57">
        <v>0</v>
      </c>
      <c r="AE103" s="57">
        <v>0</v>
      </c>
      <c r="AF103" s="61">
        <f t="shared" si="105"/>
        <v>51</v>
      </c>
      <c r="AG103" s="40">
        <f t="shared" si="118"/>
        <v>0</v>
      </c>
      <c r="AH103" s="40">
        <f t="shared" si="119"/>
        <v>0</v>
      </c>
      <c r="AI103" s="44">
        <f t="shared" si="120"/>
        <v>46112.434679039899</v>
      </c>
      <c r="AJ103" s="35">
        <f t="shared" si="106"/>
        <v>51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978.86013002880225</v>
      </c>
      <c r="AL103" s="57">
        <v>0</v>
      </c>
      <c r="AM103" s="57">
        <v>0</v>
      </c>
      <c r="AN103" s="61">
        <f t="shared" si="107"/>
        <v>51</v>
      </c>
      <c r="AO103" s="40">
        <f t="shared" si="121"/>
        <v>0</v>
      </c>
      <c r="AP103" s="40">
        <f t="shared" si="122"/>
        <v>0</v>
      </c>
      <c r="AQ103" s="44">
        <f t="shared" si="123"/>
        <v>49921.866631468918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14</v>
      </c>
      <c r="G104" s="35">
        <f>SUMIFS(WORKING!$AC$3:$AC$6802,WORKING!$A$3:$A$6802,Results!$D$3,WORKING!$B$3:$B$6802,Results!A104,WORKING!$C$3:$C$6802,Results!C104)/1000</f>
        <v>10230.048569999999</v>
      </c>
      <c r="H104" s="35">
        <f t="shared" si="108"/>
        <v>730.7177549999999</v>
      </c>
      <c r="I104" s="187">
        <v>11</v>
      </c>
      <c r="J104" s="212">
        <v>10351</v>
      </c>
      <c r="K104" s="217">
        <f t="shared" si="109"/>
        <v>941</v>
      </c>
      <c r="L104" s="34">
        <f t="shared" si="102"/>
        <v>11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986.17870566302622</v>
      </c>
      <c r="N104" s="57">
        <v>1</v>
      </c>
      <c r="O104" s="57">
        <v>1</v>
      </c>
      <c r="P104" s="61">
        <f t="shared" si="103"/>
        <v>11</v>
      </c>
      <c r="Q104" s="40">
        <f t="shared" si="110"/>
        <v>986.17870566302622</v>
      </c>
      <c r="R104" s="40">
        <f t="shared" si="111"/>
        <v>-986.17870566302622</v>
      </c>
      <c r="S104" s="44">
        <f t="shared" si="112"/>
        <v>10847.965762293288</v>
      </c>
      <c r="T104" s="35">
        <f t="shared" si="113"/>
        <v>11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1060.5402646495552</v>
      </c>
      <c r="V104" s="57">
        <v>0</v>
      </c>
      <c r="W104" s="57">
        <v>0</v>
      </c>
      <c r="X104" s="61">
        <f t="shared" si="104"/>
        <v>11</v>
      </c>
      <c r="Y104" s="40">
        <f t="shared" si="114"/>
        <v>0</v>
      </c>
      <c r="Z104" s="40">
        <f t="shared" si="115"/>
        <v>0</v>
      </c>
      <c r="AA104" s="44">
        <f t="shared" si="116"/>
        <v>11665.942911145106</v>
      </c>
      <c r="AB104" s="35">
        <f t="shared" si="117"/>
        <v>11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1139.433011162831</v>
      </c>
      <c r="AD104" s="57">
        <v>0</v>
      </c>
      <c r="AE104" s="57">
        <v>0</v>
      </c>
      <c r="AF104" s="61">
        <f t="shared" si="105"/>
        <v>11</v>
      </c>
      <c r="AG104" s="40">
        <f t="shared" si="118"/>
        <v>0</v>
      </c>
      <c r="AH104" s="40">
        <f t="shared" si="119"/>
        <v>0</v>
      </c>
      <c r="AI104" s="44">
        <f t="shared" si="120"/>
        <v>12533.763122791141</v>
      </c>
      <c r="AJ104" s="35">
        <f t="shared" si="106"/>
        <v>11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1221.8825442132966</v>
      </c>
      <c r="AL104" s="57">
        <v>0</v>
      </c>
      <c r="AM104" s="57">
        <v>0</v>
      </c>
      <c r="AN104" s="61">
        <f t="shared" si="107"/>
        <v>11</v>
      </c>
      <c r="AO104" s="40">
        <f t="shared" si="121"/>
        <v>0</v>
      </c>
      <c r="AP104" s="40">
        <f t="shared" si="122"/>
        <v>0</v>
      </c>
      <c r="AQ104" s="44">
        <f t="shared" si="123"/>
        <v>13440.707986346262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10</v>
      </c>
      <c r="G105" s="35">
        <f>SUMIFS(WORKING!$AC$3:$AC$6802,WORKING!$A$3:$A$6802,Results!$D$3,WORKING!$B$3:$B$6802,Results!A105,WORKING!$C$3:$C$6802,Results!C105)/1000</f>
        <v>3254.8304099999996</v>
      </c>
      <c r="H105" s="35">
        <f t="shared" si="108"/>
        <v>325.48304099999996</v>
      </c>
      <c r="I105" s="187">
        <v>3</v>
      </c>
      <c r="J105" s="212">
        <v>2950</v>
      </c>
      <c r="K105" s="217">
        <f t="shared" si="109"/>
        <v>983.33333333333337</v>
      </c>
      <c r="L105" s="34">
        <f t="shared" si="102"/>
        <v>3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1030.3655473090409</v>
      </c>
      <c r="N105" s="57">
        <v>0</v>
      </c>
      <c r="O105" s="57">
        <v>0</v>
      </c>
      <c r="P105" s="61">
        <f t="shared" si="103"/>
        <v>3</v>
      </c>
      <c r="Q105" s="40">
        <f t="shared" si="110"/>
        <v>0</v>
      </c>
      <c r="R105" s="40">
        <f t="shared" si="111"/>
        <v>0</v>
      </c>
      <c r="S105" s="44">
        <f t="shared" si="112"/>
        <v>3091.0966419271226</v>
      </c>
      <c r="T105" s="35">
        <f t="shared" si="113"/>
        <v>3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1107.8665241075169</v>
      </c>
      <c r="V105" s="57">
        <v>0</v>
      </c>
      <c r="W105" s="57">
        <v>0</v>
      </c>
      <c r="X105" s="61">
        <f t="shared" si="104"/>
        <v>3</v>
      </c>
      <c r="Y105" s="40">
        <f t="shared" si="114"/>
        <v>0</v>
      </c>
      <c r="Z105" s="40">
        <f t="shared" si="115"/>
        <v>0</v>
      </c>
      <c r="AA105" s="44">
        <f t="shared" si="116"/>
        <v>3323.5995723225506</v>
      </c>
      <c r="AB105" s="35">
        <f t="shared" si="117"/>
        <v>3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1190.0731190779466</v>
      </c>
      <c r="AD105" s="57">
        <v>0</v>
      </c>
      <c r="AE105" s="57">
        <v>0</v>
      </c>
      <c r="AF105" s="61">
        <f t="shared" si="105"/>
        <v>3</v>
      </c>
      <c r="AG105" s="40">
        <f t="shared" si="118"/>
        <v>0</v>
      </c>
      <c r="AH105" s="40">
        <f t="shared" si="119"/>
        <v>0</v>
      </c>
      <c r="AI105" s="44">
        <f t="shared" si="120"/>
        <v>3570.2193572338397</v>
      </c>
      <c r="AJ105" s="35">
        <f t="shared" si="106"/>
        <v>3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1275.9653437528555</v>
      </c>
      <c r="AL105" s="57">
        <v>0</v>
      </c>
      <c r="AM105" s="57">
        <v>0</v>
      </c>
      <c r="AN105" s="61">
        <f t="shared" si="107"/>
        <v>3</v>
      </c>
      <c r="AO105" s="40">
        <f t="shared" si="121"/>
        <v>0</v>
      </c>
      <c r="AP105" s="40">
        <f t="shared" si="122"/>
        <v>0</v>
      </c>
      <c r="AQ105" s="44">
        <f t="shared" si="123"/>
        <v>3827.8960312585664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1036.5241900000001</v>
      </c>
      <c r="H106" s="35">
        <f t="shared" si="108"/>
        <v>1036.5241900000001</v>
      </c>
      <c r="I106" s="187">
        <v>1</v>
      </c>
      <c r="J106" s="212">
        <v>1281</v>
      </c>
      <c r="K106" s="217">
        <f t="shared" si="109"/>
        <v>1281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1343.1209785743056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1343.1209785743056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1445.0626596866894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1445.0626596866894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1553.2748858480222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1553.2748858480222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1666.4373424845578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1666.4373424845578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3011</v>
      </c>
      <c r="G112" s="41">
        <f>SUM(G92:G111)</f>
        <v>377644.49053000007</v>
      </c>
      <c r="H112" s="41">
        <f>IFERROR(G112/F112,0)</f>
        <v>125.42161757887747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1205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375866.47337000002</v>
      </c>
      <c r="K112" s="41">
        <f>IFERROR(J112/I112,"")</f>
        <v>311.92238453941911</v>
      </c>
      <c r="L112" s="41">
        <f>SUM(L92:L111)</f>
        <v>1205</v>
      </c>
      <c r="M112" s="41">
        <f>IFERROR(S112/P112,0)</f>
        <v>336.90783950354319</v>
      </c>
      <c r="N112" s="41">
        <f t="shared" ref="N112:T112" si="124">SUM(N92:N111)</f>
        <v>102</v>
      </c>
      <c r="O112" s="41">
        <f t="shared" si="124"/>
        <v>109</v>
      </c>
      <c r="P112" s="41">
        <f t="shared" si="124"/>
        <v>1198</v>
      </c>
      <c r="Q112" s="41">
        <f t="shared" si="124"/>
        <v>35203.788000951776</v>
      </c>
      <c r="R112" s="41">
        <f t="shared" si="124"/>
        <v>-40107.600651748682</v>
      </c>
      <c r="S112" s="45">
        <f t="shared" si="124"/>
        <v>403615.59172524471</v>
      </c>
      <c r="T112" s="41">
        <f t="shared" si="124"/>
        <v>1198</v>
      </c>
      <c r="U112" s="41">
        <f>IFERROR(AA112/X112,0)</f>
        <v>367.48248531586574</v>
      </c>
      <c r="V112" s="41">
        <f t="shared" ref="V112:AB112" si="125">SUM(V92:V111)</f>
        <v>42</v>
      </c>
      <c r="W112" s="41">
        <f t="shared" si="125"/>
        <v>1</v>
      </c>
      <c r="X112" s="41">
        <f t="shared" si="125"/>
        <v>1239</v>
      </c>
      <c r="Y112" s="41">
        <f t="shared" si="125"/>
        <v>17976.841496423724</v>
      </c>
      <c r="Z112" s="41">
        <f t="shared" si="125"/>
        <v>-428.02003562913626</v>
      </c>
      <c r="AA112" s="45">
        <f t="shared" si="125"/>
        <v>455310.79930635763</v>
      </c>
      <c r="AB112" s="41">
        <f t="shared" si="125"/>
        <v>1239</v>
      </c>
      <c r="AC112" s="41">
        <f>IFERROR(AI112/AF112,0)</f>
        <v>398.08523642372921</v>
      </c>
      <c r="AD112" s="41">
        <f t="shared" ref="AD112:AJ112" si="126">SUM(AD92:AD111)</f>
        <v>0</v>
      </c>
      <c r="AE112" s="41">
        <f t="shared" si="126"/>
        <v>6</v>
      </c>
      <c r="AF112" s="41">
        <f t="shared" si="126"/>
        <v>1233</v>
      </c>
      <c r="AG112" s="41">
        <f t="shared" si="126"/>
        <v>0</v>
      </c>
      <c r="AH112" s="41">
        <f t="shared" si="126"/>
        <v>-2540.8564849710447</v>
      </c>
      <c r="AI112" s="45">
        <f t="shared" si="126"/>
        <v>490839.0965104581</v>
      </c>
      <c r="AJ112" s="41">
        <f t="shared" si="126"/>
        <v>1233</v>
      </c>
      <c r="AK112" s="41">
        <f>IFERROR(AQ112/AN112,0)</f>
        <v>429.84130564051645</v>
      </c>
      <c r="AL112" s="41">
        <f t="shared" ref="AL112:AQ112" si="127">SUM(AL92:AL111)</f>
        <v>0</v>
      </c>
      <c r="AM112" s="41">
        <f t="shared" si="127"/>
        <v>20</v>
      </c>
      <c r="AN112" s="41">
        <f t="shared" si="127"/>
        <v>1213</v>
      </c>
      <c r="AO112" s="41">
        <f t="shared" si="127"/>
        <v>0</v>
      </c>
      <c r="AP112" s="41">
        <f t="shared" si="127"/>
        <v>-9486.5872710868243</v>
      </c>
      <c r="AQ112" s="45">
        <f t="shared" si="127"/>
        <v>521397.50374194648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416655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424316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469704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505401.50400000002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13039.408274755289</v>
      </c>
      <c r="T114" s="39"/>
      <c r="U114" s="39"/>
      <c r="V114" s="53"/>
      <c r="W114" s="53"/>
      <c r="X114" s="110"/>
      <c r="Y114" s="39"/>
      <c r="Z114" s="39"/>
      <c r="AA114" s="54">
        <f>AA113-AA112</f>
        <v>-30994.799306357629</v>
      </c>
      <c r="AB114" s="39"/>
      <c r="AC114" s="53"/>
      <c r="AD114" s="53"/>
      <c r="AE114" s="110"/>
      <c r="AF114" s="39"/>
      <c r="AG114" s="39"/>
      <c r="AH114" s="39"/>
      <c r="AI114" s="54">
        <f>AI113-AI112</f>
        <v>-21135.096510458097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-15995.999741946463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Public Employment Services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1</v>
      </c>
      <c r="G120" s="35">
        <f>SUMIFS(WORKING!$AC$3:$AC$6802,WORKING!$A$3:$A$6802,Results!$D$3,WORKING!$B$3:$B$6802,Results!A120,WORKING!$C$3:$C$6802,Results!C120)/1000</f>
        <v>101.59956000000001</v>
      </c>
      <c r="H120" s="35">
        <f>IFERROR(G120/F120,0)</f>
        <v>101.59956000000001</v>
      </c>
      <c r="I120" s="156">
        <v>1</v>
      </c>
      <c r="J120" s="211">
        <v>95</v>
      </c>
      <c r="K120" s="217">
        <f>IFERROR(IF(J120="",G120,J120)/IF(I120="",F120,I120),"")</f>
        <v>95</v>
      </c>
      <c r="L120" s="34">
        <f t="shared" ref="L120:L139" si="128">IF(I120="",F120,I120)</f>
        <v>1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102.57668473094481</v>
      </c>
      <c r="N120" s="57">
        <v>0</v>
      </c>
      <c r="O120" s="57">
        <v>0</v>
      </c>
      <c r="P120" s="61">
        <f t="shared" ref="P120:P139" si="129">-O120+L120+N120</f>
        <v>1</v>
      </c>
      <c r="Q120" s="40">
        <f>M120*N120</f>
        <v>0</v>
      </c>
      <c r="R120" s="40">
        <f>-M120*O120</f>
        <v>0</v>
      </c>
      <c r="S120" s="44">
        <f>M120*P120</f>
        <v>102.57668473094481</v>
      </c>
      <c r="T120" s="35">
        <f>P120</f>
        <v>1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111.0454461833779</v>
      </c>
      <c r="V120" s="57">
        <v>0</v>
      </c>
      <c r="W120" s="57">
        <v>0</v>
      </c>
      <c r="X120" s="61">
        <f t="shared" ref="X120:X139" si="130">-W120+T120+V120</f>
        <v>1</v>
      </c>
      <c r="Y120" s="40">
        <f>U120*V120</f>
        <v>0</v>
      </c>
      <c r="Z120" s="40">
        <f>-U120*W120</f>
        <v>0</v>
      </c>
      <c r="AA120" s="44">
        <f>U120*X120</f>
        <v>111.0454461833779</v>
      </c>
      <c r="AB120" s="35">
        <f>X120</f>
        <v>1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120.10090243380321</v>
      </c>
      <c r="AD120" s="57">
        <v>0</v>
      </c>
      <c r="AE120" s="57">
        <v>0</v>
      </c>
      <c r="AF120" s="61">
        <f t="shared" ref="AF120:AF139" si="131">-AE120+AB120+AD120</f>
        <v>1</v>
      </c>
      <c r="AG120" s="40">
        <f>AC120*AD120</f>
        <v>0</v>
      </c>
      <c r="AH120" s="40">
        <f>-AC120*AE120</f>
        <v>0</v>
      </c>
      <c r="AI120" s="44">
        <f>AC120*AF120</f>
        <v>120.10090243380321</v>
      </c>
      <c r="AJ120" s="35">
        <f t="shared" ref="AJ120:AJ139" si="132">AF120</f>
        <v>1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129.65148308637271</v>
      </c>
      <c r="AL120" s="57">
        <v>0</v>
      </c>
      <c r="AM120" s="57">
        <v>0</v>
      </c>
      <c r="AN120" s="61">
        <f t="shared" ref="AN120:AN139" si="133">-AM120+AJ120+AL120</f>
        <v>1</v>
      </c>
      <c r="AO120" s="40">
        <f>AK120*AL120</f>
        <v>0</v>
      </c>
      <c r="AP120" s="40">
        <f>-AK120*AM120</f>
        <v>0</v>
      </c>
      <c r="AQ120" s="44">
        <f>AK120*AN120</f>
        <v>129.65148308637271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1</v>
      </c>
      <c r="G121" s="35">
        <f>SUMIFS(WORKING!$AC$3:$AC$6802,WORKING!$A$3:$A$6802,Results!$D$3,WORKING!$B$3:$B$6802,Results!A121,WORKING!$C$3:$C$6802,Results!C121)/1000</f>
        <v>148.59831999999997</v>
      </c>
      <c r="H121" s="35">
        <f t="shared" ref="H121:H139" si="134">IFERROR(G121/F121,0)</f>
        <v>148.59831999999997</v>
      </c>
      <c r="I121" s="187">
        <v>1</v>
      </c>
      <c r="J121" s="212">
        <v>120</v>
      </c>
      <c r="K121" s="217">
        <f t="shared" ref="K121:K139" si="135">IFERROR(IF(J121="",G121,J121)/IF(I121="",F121,I121),"")</f>
        <v>120</v>
      </c>
      <c r="L121" s="34">
        <f t="shared" si="128"/>
        <v>1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129.84678403670011</v>
      </c>
      <c r="N121" s="57">
        <v>0</v>
      </c>
      <c r="O121" s="57">
        <v>0</v>
      </c>
      <c r="P121" s="61">
        <f t="shared" si="129"/>
        <v>1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129.84678403670011</v>
      </c>
      <c r="T121" s="35">
        <f t="shared" ref="T121:T139" si="139">P121</f>
        <v>1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140.64731871917422</v>
      </c>
      <c r="V121" s="57">
        <v>0</v>
      </c>
      <c r="W121" s="57">
        <v>0</v>
      </c>
      <c r="X121" s="61">
        <f t="shared" si="130"/>
        <v>1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140.64731871917422</v>
      </c>
      <c r="AB121" s="35">
        <f t="shared" ref="AB121:AB139" si="143">X121</f>
        <v>1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152.20389810087582</v>
      </c>
      <c r="AD121" s="57">
        <v>0</v>
      </c>
      <c r="AE121" s="57">
        <v>0</v>
      </c>
      <c r="AF121" s="61">
        <f t="shared" si="131"/>
        <v>1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152.20389810087582</v>
      </c>
      <c r="AJ121" s="35">
        <f t="shared" si="132"/>
        <v>1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164.40199011020039</v>
      </c>
      <c r="AL121" s="57">
        <v>0</v>
      </c>
      <c r="AM121" s="57">
        <v>0</v>
      </c>
      <c r="AN121" s="61">
        <f t="shared" si="133"/>
        <v>1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164.40199011020039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346</v>
      </c>
      <c r="G122" s="35">
        <f>SUMIFS(WORKING!$AC$3:$AC$6802,WORKING!$A$3:$A$6802,Results!$D$3,WORKING!$B$3:$B$6802,Results!A122,WORKING!$C$3:$C$6802,Results!C122)/1000</f>
        <v>33566.756590000005</v>
      </c>
      <c r="H122" s="35">
        <f t="shared" si="134"/>
        <v>97.013747369942209</v>
      </c>
      <c r="I122" s="187">
        <v>3</v>
      </c>
      <c r="J122" s="212">
        <v>481</v>
      </c>
      <c r="K122" s="217">
        <f t="shared" si="135"/>
        <v>160.33333333333334</v>
      </c>
      <c r="L122" s="34">
        <f t="shared" si="128"/>
        <v>3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174.68480330939414</v>
      </c>
      <c r="N122" s="57">
        <v>0</v>
      </c>
      <c r="O122" s="57">
        <v>0</v>
      </c>
      <c r="P122" s="61">
        <f t="shared" si="129"/>
        <v>3</v>
      </c>
      <c r="Q122" s="40">
        <f t="shared" si="136"/>
        <v>0</v>
      </c>
      <c r="R122" s="40">
        <f t="shared" si="137"/>
        <v>0</v>
      </c>
      <c r="S122" s="44">
        <f t="shared" si="138"/>
        <v>524.05440992818239</v>
      </c>
      <c r="T122" s="35">
        <f t="shared" si="139"/>
        <v>3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189.58527280801454</v>
      </c>
      <c r="V122" s="57">
        <v>0</v>
      </c>
      <c r="W122" s="57">
        <v>0</v>
      </c>
      <c r="X122" s="61">
        <f t="shared" si="130"/>
        <v>3</v>
      </c>
      <c r="Y122" s="40">
        <f t="shared" si="140"/>
        <v>0</v>
      </c>
      <c r="Z122" s="40">
        <f t="shared" si="141"/>
        <v>0</v>
      </c>
      <c r="AA122" s="44">
        <f t="shared" si="142"/>
        <v>568.75581842404358</v>
      </c>
      <c r="AB122" s="35">
        <f t="shared" si="143"/>
        <v>3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205.56448619004996</v>
      </c>
      <c r="AD122" s="57">
        <v>0</v>
      </c>
      <c r="AE122" s="57">
        <v>0</v>
      </c>
      <c r="AF122" s="61">
        <f t="shared" si="131"/>
        <v>3</v>
      </c>
      <c r="AG122" s="40">
        <f t="shared" si="144"/>
        <v>0</v>
      </c>
      <c r="AH122" s="40">
        <f t="shared" si="145"/>
        <v>0</v>
      </c>
      <c r="AI122" s="44">
        <f t="shared" si="146"/>
        <v>616.69345857014991</v>
      </c>
      <c r="AJ122" s="35">
        <f t="shared" si="132"/>
        <v>3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222.47359314824283</v>
      </c>
      <c r="AL122" s="57">
        <v>0</v>
      </c>
      <c r="AM122" s="57">
        <v>0</v>
      </c>
      <c r="AN122" s="61">
        <f t="shared" si="133"/>
        <v>3</v>
      </c>
      <c r="AO122" s="40">
        <f t="shared" si="147"/>
        <v>0</v>
      </c>
      <c r="AP122" s="40">
        <f t="shared" si="148"/>
        <v>0</v>
      </c>
      <c r="AQ122" s="44">
        <f t="shared" si="149"/>
        <v>667.42077944472851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129</v>
      </c>
      <c r="G123" s="35">
        <f>SUMIFS(WORKING!$AC$3:$AC$6802,WORKING!$A$3:$A$6802,Results!$D$3,WORKING!$B$3:$B$6802,Results!A123,WORKING!$C$3:$C$6802,Results!C123)/1000</f>
        <v>18625.684960000002</v>
      </c>
      <c r="H123" s="35">
        <f t="shared" si="134"/>
        <v>144.38515472868218</v>
      </c>
      <c r="I123" s="187">
        <v>11</v>
      </c>
      <c r="J123" s="212">
        <v>1888</v>
      </c>
      <c r="K123" s="217">
        <f t="shared" si="135"/>
        <v>171.63636363636363</v>
      </c>
      <c r="L123" s="34">
        <f t="shared" si="128"/>
        <v>11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186.50496352739836</v>
      </c>
      <c r="N123" s="57">
        <v>0</v>
      </c>
      <c r="O123" s="57">
        <v>0</v>
      </c>
      <c r="P123" s="61">
        <f t="shared" si="129"/>
        <v>11</v>
      </c>
      <c r="Q123" s="40">
        <f t="shared" si="136"/>
        <v>0</v>
      </c>
      <c r="R123" s="40">
        <f t="shared" si="137"/>
        <v>0</v>
      </c>
      <c r="S123" s="44">
        <f t="shared" si="138"/>
        <v>2051.5545988013819</v>
      </c>
      <c r="T123" s="35">
        <f t="shared" si="139"/>
        <v>11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202.25968727227735</v>
      </c>
      <c r="V123" s="57">
        <v>0</v>
      </c>
      <c r="W123" s="57">
        <v>0</v>
      </c>
      <c r="X123" s="61">
        <f t="shared" si="130"/>
        <v>11</v>
      </c>
      <c r="Y123" s="40">
        <f t="shared" si="140"/>
        <v>0</v>
      </c>
      <c r="Z123" s="40">
        <f t="shared" si="141"/>
        <v>0</v>
      </c>
      <c r="AA123" s="44">
        <f t="shared" si="142"/>
        <v>2224.8565599950507</v>
      </c>
      <c r="AB123" s="35">
        <f t="shared" si="143"/>
        <v>11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219.14038122404401</v>
      </c>
      <c r="AD123" s="57">
        <v>0</v>
      </c>
      <c r="AE123" s="57">
        <v>0</v>
      </c>
      <c r="AF123" s="61">
        <f t="shared" si="131"/>
        <v>11</v>
      </c>
      <c r="AG123" s="40">
        <f t="shared" si="144"/>
        <v>0</v>
      </c>
      <c r="AH123" s="40">
        <f t="shared" si="145"/>
        <v>0</v>
      </c>
      <c r="AI123" s="44">
        <f t="shared" si="146"/>
        <v>2410.5441934644841</v>
      </c>
      <c r="AJ123" s="35">
        <f t="shared" si="132"/>
        <v>11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236.98597413093535</v>
      </c>
      <c r="AL123" s="57">
        <v>0</v>
      </c>
      <c r="AM123" s="57">
        <v>0</v>
      </c>
      <c r="AN123" s="61">
        <f t="shared" si="133"/>
        <v>11</v>
      </c>
      <c r="AO123" s="40">
        <f t="shared" si="147"/>
        <v>0</v>
      </c>
      <c r="AP123" s="40">
        <f t="shared" si="148"/>
        <v>0</v>
      </c>
      <c r="AQ123" s="44">
        <f t="shared" si="149"/>
        <v>2606.8457154402886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606</v>
      </c>
      <c r="G124" s="35">
        <f>SUMIFS(WORKING!$AC$3:$AC$6802,WORKING!$A$3:$A$6802,Results!$D$3,WORKING!$B$3:$B$6802,Results!A124,WORKING!$C$3:$C$6802,Results!C124)/1000</f>
        <v>84771.146280000132</v>
      </c>
      <c r="H124" s="35">
        <f t="shared" si="134"/>
        <v>139.88638000000023</v>
      </c>
      <c r="I124" s="187">
        <v>83</v>
      </c>
      <c r="J124" s="212">
        <v>15937</v>
      </c>
      <c r="K124" s="217">
        <f t="shared" si="135"/>
        <v>192.01204819277109</v>
      </c>
      <c r="L124" s="34">
        <f t="shared" si="128"/>
        <v>83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208.65353571790104</v>
      </c>
      <c r="N124" s="57">
        <v>3</v>
      </c>
      <c r="O124" s="57">
        <v>0</v>
      </c>
      <c r="P124" s="61">
        <f t="shared" si="129"/>
        <v>86</v>
      </c>
      <c r="Q124" s="40">
        <f t="shared" si="136"/>
        <v>625.96060715370311</v>
      </c>
      <c r="R124" s="40">
        <f t="shared" si="137"/>
        <v>0</v>
      </c>
      <c r="S124" s="44">
        <f t="shared" si="138"/>
        <v>17944.204071739488</v>
      </c>
      <c r="T124" s="35">
        <f t="shared" si="139"/>
        <v>86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226.28227569313847</v>
      </c>
      <c r="V124" s="57">
        <v>0</v>
      </c>
      <c r="W124" s="57">
        <v>0</v>
      </c>
      <c r="X124" s="61">
        <f t="shared" si="130"/>
        <v>86</v>
      </c>
      <c r="Y124" s="40">
        <f t="shared" si="140"/>
        <v>0</v>
      </c>
      <c r="Z124" s="40">
        <f t="shared" si="141"/>
        <v>0</v>
      </c>
      <c r="AA124" s="44">
        <f t="shared" si="142"/>
        <v>19460.275709609909</v>
      </c>
      <c r="AB124" s="35">
        <f t="shared" si="143"/>
        <v>86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245.17117757626099</v>
      </c>
      <c r="AD124" s="57">
        <v>0</v>
      </c>
      <c r="AE124" s="57">
        <v>0</v>
      </c>
      <c r="AF124" s="61">
        <f t="shared" si="131"/>
        <v>86</v>
      </c>
      <c r="AG124" s="40">
        <f t="shared" si="144"/>
        <v>0</v>
      </c>
      <c r="AH124" s="40">
        <f t="shared" si="145"/>
        <v>0</v>
      </c>
      <c r="AI124" s="44">
        <f t="shared" si="146"/>
        <v>21084.721271558446</v>
      </c>
      <c r="AJ124" s="35">
        <f t="shared" si="132"/>
        <v>86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265.14004168582301</v>
      </c>
      <c r="AL124" s="57">
        <v>0</v>
      </c>
      <c r="AM124" s="57">
        <v>0</v>
      </c>
      <c r="AN124" s="61">
        <f t="shared" si="133"/>
        <v>86</v>
      </c>
      <c r="AO124" s="40">
        <f t="shared" si="147"/>
        <v>0</v>
      </c>
      <c r="AP124" s="40">
        <f t="shared" si="148"/>
        <v>0</v>
      </c>
      <c r="AQ124" s="44">
        <f t="shared" si="149"/>
        <v>22802.04358498078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3221</v>
      </c>
      <c r="G125" s="35">
        <f>SUMIFS(WORKING!$AC$3:$AC$6802,WORKING!$A$3:$A$6802,Results!$D$3,WORKING!$B$3:$B$6802,Results!A125,WORKING!$C$3:$C$6802,Results!C125)/1000</f>
        <v>569646.85161000001</v>
      </c>
      <c r="H125" s="35">
        <f t="shared" si="134"/>
        <v>176.85403651350512</v>
      </c>
      <c r="I125" s="187">
        <v>99</v>
      </c>
      <c r="J125" s="212">
        <v>21623</v>
      </c>
      <c r="K125" s="217">
        <f t="shared" si="135"/>
        <v>218.41414141414143</v>
      </c>
      <c r="L125" s="34">
        <f t="shared" si="128"/>
        <v>99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237.47260640289906</v>
      </c>
      <c r="N125" s="57">
        <v>0</v>
      </c>
      <c r="O125" s="57">
        <v>0</v>
      </c>
      <c r="P125" s="61">
        <f t="shared" si="129"/>
        <v>99</v>
      </c>
      <c r="Q125" s="40">
        <f t="shared" si="136"/>
        <v>0</v>
      </c>
      <c r="R125" s="40">
        <f t="shared" si="137"/>
        <v>0</v>
      </c>
      <c r="S125" s="44">
        <f t="shared" si="138"/>
        <v>23509.788033887005</v>
      </c>
      <c r="T125" s="35">
        <f t="shared" si="139"/>
        <v>99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257.57599044464644</v>
      </c>
      <c r="V125" s="57">
        <v>0</v>
      </c>
      <c r="W125" s="57">
        <v>0</v>
      </c>
      <c r="X125" s="61">
        <f t="shared" si="130"/>
        <v>99</v>
      </c>
      <c r="Y125" s="40">
        <f t="shared" si="140"/>
        <v>0</v>
      </c>
      <c r="Z125" s="40">
        <f t="shared" si="141"/>
        <v>0</v>
      </c>
      <c r="AA125" s="44">
        <f t="shared" si="142"/>
        <v>25500.023054019995</v>
      </c>
      <c r="AB125" s="35">
        <f t="shared" si="143"/>
        <v>99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279.12023844819436</v>
      </c>
      <c r="AD125" s="57">
        <v>0</v>
      </c>
      <c r="AE125" s="57">
        <v>0</v>
      </c>
      <c r="AF125" s="61">
        <f t="shared" si="131"/>
        <v>99</v>
      </c>
      <c r="AG125" s="40">
        <f t="shared" si="144"/>
        <v>0</v>
      </c>
      <c r="AH125" s="40">
        <f t="shared" si="145"/>
        <v>0</v>
      </c>
      <c r="AI125" s="44">
        <f t="shared" si="146"/>
        <v>27632.903606371241</v>
      </c>
      <c r="AJ125" s="35">
        <f t="shared" si="132"/>
        <v>99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301.90083579457519</v>
      </c>
      <c r="AL125" s="57">
        <v>0</v>
      </c>
      <c r="AM125" s="57">
        <v>0</v>
      </c>
      <c r="AN125" s="61">
        <f t="shared" si="133"/>
        <v>99</v>
      </c>
      <c r="AO125" s="40">
        <f t="shared" si="147"/>
        <v>0</v>
      </c>
      <c r="AP125" s="40">
        <f t="shared" si="148"/>
        <v>0</v>
      </c>
      <c r="AQ125" s="44">
        <f t="shared" si="149"/>
        <v>29888.182743662943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815</v>
      </c>
      <c r="G126" s="35">
        <f>SUMIFS(WORKING!$AC$3:$AC$6802,WORKING!$A$3:$A$6802,Results!$D$3,WORKING!$B$3:$B$6802,Results!A126,WORKING!$C$3:$C$6802,Results!C126)/1000</f>
        <v>167696.49542000005</v>
      </c>
      <c r="H126" s="35">
        <f t="shared" si="134"/>
        <v>205.76257106748471</v>
      </c>
      <c r="I126" s="187">
        <v>79</v>
      </c>
      <c r="J126" s="212">
        <v>21047</v>
      </c>
      <c r="K126" s="217">
        <f t="shared" si="135"/>
        <v>266.41772151898732</v>
      </c>
      <c r="L126" s="34">
        <f t="shared" si="128"/>
        <v>79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289.9344277389871</v>
      </c>
      <c r="N126" s="57">
        <v>5</v>
      </c>
      <c r="O126" s="57">
        <v>0</v>
      </c>
      <c r="P126" s="61">
        <f t="shared" si="129"/>
        <v>84</v>
      </c>
      <c r="Q126" s="40">
        <f t="shared" si="136"/>
        <v>1449.6721386949355</v>
      </c>
      <c r="R126" s="40">
        <f t="shared" si="137"/>
        <v>0</v>
      </c>
      <c r="S126" s="44">
        <f t="shared" si="138"/>
        <v>24354.491930074917</v>
      </c>
      <c r="T126" s="35">
        <f t="shared" si="139"/>
        <v>84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314.56257652967753</v>
      </c>
      <c r="V126" s="57">
        <v>0</v>
      </c>
      <c r="W126" s="57">
        <v>0</v>
      </c>
      <c r="X126" s="61">
        <f t="shared" si="130"/>
        <v>84</v>
      </c>
      <c r="Y126" s="40">
        <f t="shared" si="140"/>
        <v>0</v>
      </c>
      <c r="Z126" s="40">
        <f t="shared" si="141"/>
        <v>0</v>
      </c>
      <c r="AA126" s="44">
        <f t="shared" si="142"/>
        <v>26423.256428492914</v>
      </c>
      <c r="AB126" s="35">
        <f t="shared" si="143"/>
        <v>84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340.96389518738721</v>
      </c>
      <c r="AD126" s="57">
        <v>0</v>
      </c>
      <c r="AE126" s="57">
        <v>0</v>
      </c>
      <c r="AF126" s="61">
        <f t="shared" si="131"/>
        <v>84</v>
      </c>
      <c r="AG126" s="40">
        <f t="shared" si="144"/>
        <v>0</v>
      </c>
      <c r="AH126" s="40">
        <f t="shared" si="145"/>
        <v>0</v>
      </c>
      <c r="AI126" s="44">
        <f t="shared" si="146"/>
        <v>28640.967195740526</v>
      </c>
      <c r="AJ126" s="35">
        <f t="shared" si="132"/>
        <v>84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368.88988250309933</v>
      </c>
      <c r="AL126" s="57">
        <v>0</v>
      </c>
      <c r="AM126" s="57">
        <v>0</v>
      </c>
      <c r="AN126" s="61">
        <f t="shared" si="133"/>
        <v>84</v>
      </c>
      <c r="AO126" s="40">
        <f t="shared" si="147"/>
        <v>0</v>
      </c>
      <c r="AP126" s="40">
        <f t="shared" si="148"/>
        <v>0</v>
      </c>
      <c r="AQ126" s="44">
        <f t="shared" si="149"/>
        <v>30986.750130260345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1390</v>
      </c>
      <c r="G127" s="35">
        <f>SUMIFS(WORKING!$AC$3:$AC$6802,WORKING!$A$3:$A$6802,Results!$D$3,WORKING!$B$3:$B$6802,Results!A127,WORKING!$C$3:$C$6802,Results!C127)/1000</f>
        <v>364516.31365000055</v>
      </c>
      <c r="H127" s="35">
        <f t="shared" si="134"/>
        <v>262.24195226618747</v>
      </c>
      <c r="I127" s="187">
        <v>213</v>
      </c>
      <c r="J127" s="212">
        <v>70907</v>
      </c>
      <c r="K127" s="217">
        <f t="shared" si="135"/>
        <v>332.89671361502349</v>
      </c>
      <c r="L127" s="34">
        <f t="shared" si="128"/>
        <v>213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362.54412926443752</v>
      </c>
      <c r="N127" s="57">
        <v>11</v>
      </c>
      <c r="O127" s="57">
        <v>1</v>
      </c>
      <c r="P127" s="61">
        <f t="shared" si="129"/>
        <v>223</v>
      </c>
      <c r="Q127" s="40">
        <f t="shared" si="136"/>
        <v>3987.9854219088129</v>
      </c>
      <c r="R127" s="40">
        <f t="shared" si="137"/>
        <v>-362.54412926443752</v>
      </c>
      <c r="S127" s="44">
        <f t="shared" si="138"/>
        <v>80847.340825969572</v>
      </c>
      <c r="T127" s="35">
        <f t="shared" si="139"/>
        <v>223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393.42184949251373</v>
      </c>
      <c r="V127" s="57">
        <v>0</v>
      </c>
      <c r="W127" s="57">
        <v>1</v>
      </c>
      <c r="X127" s="61">
        <f t="shared" si="130"/>
        <v>222</v>
      </c>
      <c r="Y127" s="40">
        <f t="shared" si="140"/>
        <v>0</v>
      </c>
      <c r="Z127" s="40">
        <f t="shared" si="141"/>
        <v>-393.42184949251373</v>
      </c>
      <c r="AA127" s="44">
        <f t="shared" si="142"/>
        <v>87339.650587338052</v>
      </c>
      <c r="AB127" s="35">
        <f t="shared" si="143"/>
        <v>222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426.53052703859498</v>
      </c>
      <c r="AD127" s="57">
        <v>0</v>
      </c>
      <c r="AE127" s="57">
        <v>0</v>
      </c>
      <c r="AF127" s="61">
        <f t="shared" si="131"/>
        <v>222</v>
      </c>
      <c r="AG127" s="40">
        <f t="shared" si="144"/>
        <v>0</v>
      </c>
      <c r="AH127" s="40">
        <f t="shared" si="145"/>
        <v>0</v>
      </c>
      <c r="AI127" s="44">
        <f t="shared" si="146"/>
        <v>94689.77700256808</v>
      </c>
      <c r="AJ127" s="35">
        <f t="shared" si="132"/>
        <v>222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461.56058222576934</v>
      </c>
      <c r="AL127" s="57">
        <v>0</v>
      </c>
      <c r="AM127" s="57">
        <v>2</v>
      </c>
      <c r="AN127" s="61">
        <f t="shared" si="133"/>
        <v>220</v>
      </c>
      <c r="AO127" s="40">
        <f t="shared" si="147"/>
        <v>0</v>
      </c>
      <c r="AP127" s="40">
        <f t="shared" si="148"/>
        <v>-923.12116445153868</v>
      </c>
      <c r="AQ127" s="44">
        <f t="shared" si="149"/>
        <v>101543.32808966926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181</v>
      </c>
      <c r="G128" s="35">
        <f>SUMIFS(WORKING!$AC$3:$AC$6802,WORKING!$A$3:$A$6802,Results!$D$3,WORKING!$B$3:$B$6802,Results!A128,WORKING!$C$3:$C$6802,Results!C128)/1000</f>
        <v>50759.987510000006</v>
      </c>
      <c r="H128" s="35">
        <f t="shared" si="134"/>
        <v>280.44191994475142</v>
      </c>
      <c r="I128" s="187">
        <v>13</v>
      </c>
      <c r="J128" s="212">
        <v>5254</v>
      </c>
      <c r="K128" s="217">
        <f t="shared" si="135"/>
        <v>404.15384615384613</v>
      </c>
      <c r="L128" s="34">
        <f t="shared" si="128"/>
        <v>13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440.32634245446991</v>
      </c>
      <c r="N128" s="57">
        <v>0</v>
      </c>
      <c r="O128" s="57">
        <v>0</v>
      </c>
      <c r="P128" s="61">
        <f t="shared" si="129"/>
        <v>13</v>
      </c>
      <c r="Q128" s="40">
        <f t="shared" si="136"/>
        <v>0</v>
      </c>
      <c r="R128" s="40">
        <f t="shared" si="137"/>
        <v>0</v>
      </c>
      <c r="S128" s="44">
        <f t="shared" si="138"/>
        <v>5724.2424519081087</v>
      </c>
      <c r="T128" s="35">
        <f t="shared" si="139"/>
        <v>13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477.88444996422214</v>
      </c>
      <c r="V128" s="57">
        <v>0</v>
      </c>
      <c r="W128" s="57">
        <v>0</v>
      </c>
      <c r="X128" s="61">
        <f t="shared" si="130"/>
        <v>13</v>
      </c>
      <c r="Y128" s="40">
        <f t="shared" si="140"/>
        <v>0</v>
      </c>
      <c r="Z128" s="40">
        <f t="shared" si="141"/>
        <v>0</v>
      </c>
      <c r="AA128" s="44">
        <f t="shared" si="142"/>
        <v>6212.4978495348878</v>
      </c>
      <c r="AB128" s="35">
        <f t="shared" si="143"/>
        <v>13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518.16152112742634</v>
      </c>
      <c r="AD128" s="57">
        <v>0</v>
      </c>
      <c r="AE128" s="57">
        <v>0</v>
      </c>
      <c r="AF128" s="61">
        <f t="shared" si="131"/>
        <v>13</v>
      </c>
      <c r="AG128" s="40">
        <f t="shared" si="144"/>
        <v>0</v>
      </c>
      <c r="AH128" s="40">
        <f t="shared" si="145"/>
        <v>0</v>
      </c>
      <c r="AI128" s="44">
        <f t="shared" si="146"/>
        <v>6736.0997746565426</v>
      </c>
      <c r="AJ128" s="35">
        <f t="shared" si="132"/>
        <v>13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560.78234941651453</v>
      </c>
      <c r="AL128" s="57">
        <v>0</v>
      </c>
      <c r="AM128" s="57">
        <v>0</v>
      </c>
      <c r="AN128" s="61">
        <f t="shared" si="133"/>
        <v>13</v>
      </c>
      <c r="AO128" s="40">
        <f t="shared" si="147"/>
        <v>0</v>
      </c>
      <c r="AP128" s="40">
        <f t="shared" si="148"/>
        <v>0</v>
      </c>
      <c r="AQ128" s="44">
        <f t="shared" si="149"/>
        <v>7290.1705424146894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353</v>
      </c>
      <c r="G129" s="35">
        <f>SUMIFS(WORKING!$AC$3:$AC$6802,WORKING!$A$3:$A$6802,Results!$D$3,WORKING!$B$3:$B$6802,Results!A129,WORKING!$C$3:$C$6802,Results!C129)/1000</f>
        <v>148711.16436000002</v>
      </c>
      <c r="H129" s="35">
        <f t="shared" si="134"/>
        <v>421.27808600566578</v>
      </c>
      <c r="I129" s="187">
        <v>78</v>
      </c>
      <c r="J129" s="212">
        <v>36936</v>
      </c>
      <c r="K129" s="217">
        <f t="shared" si="135"/>
        <v>473.53846153846155</v>
      </c>
      <c r="L129" s="34">
        <f t="shared" si="128"/>
        <v>78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516.25792567857752</v>
      </c>
      <c r="N129" s="57">
        <v>21</v>
      </c>
      <c r="O129" s="57">
        <v>2</v>
      </c>
      <c r="P129" s="61">
        <f t="shared" si="129"/>
        <v>97</v>
      </c>
      <c r="Q129" s="40">
        <f t="shared" si="136"/>
        <v>10841.416439250128</v>
      </c>
      <c r="R129" s="40">
        <f t="shared" si="137"/>
        <v>-1032.515851357155</v>
      </c>
      <c r="S129" s="44">
        <f t="shared" si="138"/>
        <v>50077.018790822018</v>
      </c>
      <c r="T129" s="35">
        <f t="shared" si="139"/>
        <v>97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560.39714733740675</v>
      </c>
      <c r="V129" s="57">
        <v>0</v>
      </c>
      <c r="W129" s="57">
        <v>0</v>
      </c>
      <c r="X129" s="61">
        <f t="shared" si="130"/>
        <v>97</v>
      </c>
      <c r="Y129" s="40">
        <f t="shared" si="140"/>
        <v>0</v>
      </c>
      <c r="Z129" s="40">
        <f t="shared" si="141"/>
        <v>0</v>
      </c>
      <c r="AA129" s="44">
        <f t="shared" si="142"/>
        <v>54358.523291728452</v>
      </c>
      <c r="AB129" s="35">
        <f t="shared" si="143"/>
        <v>97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607.74182089947999</v>
      </c>
      <c r="AD129" s="57">
        <v>0</v>
      </c>
      <c r="AE129" s="57">
        <v>0</v>
      </c>
      <c r="AF129" s="61">
        <f t="shared" si="131"/>
        <v>97</v>
      </c>
      <c r="AG129" s="40">
        <f t="shared" si="144"/>
        <v>0</v>
      </c>
      <c r="AH129" s="40">
        <f t="shared" si="145"/>
        <v>0</v>
      </c>
      <c r="AI129" s="44">
        <f t="shared" si="146"/>
        <v>58950.956627249558</v>
      </c>
      <c r="AJ129" s="35">
        <f t="shared" si="132"/>
        <v>97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657.85356942136843</v>
      </c>
      <c r="AL129" s="57">
        <v>0</v>
      </c>
      <c r="AM129" s="57">
        <v>2</v>
      </c>
      <c r="AN129" s="61">
        <f t="shared" si="133"/>
        <v>95</v>
      </c>
      <c r="AO129" s="40">
        <f t="shared" si="147"/>
        <v>0</v>
      </c>
      <c r="AP129" s="40">
        <f t="shared" si="148"/>
        <v>-1315.7071388427369</v>
      </c>
      <c r="AQ129" s="44">
        <f t="shared" si="149"/>
        <v>62496.089095030002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92</v>
      </c>
      <c r="G130" s="35">
        <f>SUMIFS(WORKING!$AC$3:$AC$6802,WORKING!$A$3:$A$6802,Results!$D$3,WORKING!$B$3:$B$6802,Results!A130,WORKING!$C$3:$C$6802,Results!C130)/1000</f>
        <v>43228.590709999975</v>
      </c>
      <c r="H130" s="35">
        <f t="shared" si="134"/>
        <v>469.87598597826059</v>
      </c>
      <c r="I130" s="187">
        <v>61</v>
      </c>
      <c r="J130" s="212">
        <v>32126</v>
      </c>
      <c r="K130" s="217">
        <f t="shared" si="135"/>
        <v>526.65573770491801</v>
      </c>
      <c r="L130" s="34">
        <f t="shared" si="128"/>
        <v>61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574.92082809581518</v>
      </c>
      <c r="N130" s="57">
        <v>0</v>
      </c>
      <c r="O130" s="57">
        <v>0</v>
      </c>
      <c r="P130" s="61">
        <f t="shared" si="129"/>
        <v>61</v>
      </c>
      <c r="Q130" s="40">
        <f t="shared" si="136"/>
        <v>0</v>
      </c>
      <c r="R130" s="40">
        <f t="shared" si="137"/>
        <v>0</v>
      </c>
      <c r="S130" s="44">
        <f t="shared" si="138"/>
        <v>35070.170513844729</v>
      </c>
      <c r="T130" s="35">
        <f t="shared" si="139"/>
        <v>61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624.1094682603931</v>
      </c>
      <c r="V130" s="57">
        <v>0</v>
      </c>
      <c r="W130" s="57">
        <v>0</v>
      </c>
      <c r="X130" s="61">
        <f t="shared" si="130"/>
        <v>61</v>
      </c>
      <c r="Y130" s="40">
        <f t="shared" si="140"/>
        <v>0</v>
      </c>
      <c r="Z130" s="40">
        <f t="shared" si="141"/>
        <v>0</v>
      </c>
      <c r="AA130" s="44">
        <f t="shared" si="142"/>
        <v>38070.677563883983</v>
      </c>
      <c r="AB130" s="35">
        <f t="shared" si="143"/>
        <v>61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676.87336909911016</v>
      </c>
      <c r="AD130" s="57">
        <v>0</v>
      </c>
      <c r="AE130" s="57">
        <v>0</v>
      </c>
      <c r="AF130" s="61">
        <f t="shared" si="131"/>
        <v>61</v>
      </c>
      <c r="AG130" s="40">
        <f t="shared" si="144"/>
        <v>0</v>
      </c>
      <c r="AH130" s="40">
        <f t="shared" si="145"/>
        <v>0</v>
      </c>
      <c r="AI130" s="44">
        <f t="shared" si="146"/>
        <v>41289.275515045723</v>
      </c>
      <c r="AJ130" s="35">
        <f t="shared" si="132"/>
        <v>61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732.72464317763092</v>
      </c>
      <c r="AL130" s="57">
        <v>0</v>
      </c>
      <c r="AM130" s="57">
        <v>1</v>
      </c>
      <c r="AN130" s="61">
        <f t="shared" si="133"/>
        <v>60</v>
      </c>
      <c r="AO130" s="40">
        <f t="shared" si="147"/>
        <v>0</v>
      </c>
      <c r="AP130" s="40">
        <f t="shared" si="148"/>
        <v>-732.72464317763092</v>
      </c>
      <c r="AQ130" s="44">
        <f t="shared" si="149"/>
        <v>43963.478590657855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232</v>
      </c>
      <c r="G131" s="35">
        <f>SUMIFS(WORKING!$AC$3:$AC$6802,WORKING!$A$3:$A$6802,Results!$D$3,WORKING!$B$3:$B$6802,Results!A131,WORKING!$C$3:$C$6802,Results!C131)/1000</f>
        <v>115199.84303999996</v>
      </c>
      <c r="H131" s="35">
        <f t="shared" si="134"/>
        <v>496.55104758620672</v>
      </c>
      <c r="I131" s="187">
        <v>42</v>
      </c>
      <c r="J131" s="212">
        <v>27083</v>
      </c>
      <c r="K131" s="217">
        <f t="shared" si="135"/>
        <v>644.83333333333337</v>
      </c>
      <c r="L131" s="34">
        <f t="shared" si="128"/>
        <v>42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703.97420797142513</v>
      </c>
      <c r="N131" s="57">
        <v>2</v>
      </c>
      <c r="O131" s="57">
        <v>0</v>
      </c>
      <c r="P131" s="61">
        <f t="shared" si="129"/>
        <v>44</v>
      </c>
      <c r="Q131" s="40">
        <f t="shared" si="136"/>
        <v>1407.9484159428503</v>
      </c>
      <c r="R131" s="40">
        <f t="shared" si="137"/>
        <v>0</v>
      </c>
      <c r="S131" s="44">
        <f t="shared" si="138"/>
        <v>30974.865150742706</v>
      </c>
      <c r="T131" s="35">
        <f t="shared" si="139"/>
        <v>44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764.25365209672293</v>
      </c>
      <c r="V131" s="57">
        <v>0</v>
      </c>
      <c r="W131" s="57">
        <v>1</v>
      </c>
      <c r="X131" s="61">
        <f t="shared" si="130"/>
        <v>43</v>
      </c>
      <c r="Y131" s="40">
        <f t="shared" si="140"/>
        <v>0</v>
      </c>
      <c r="Z131" s="40">
        <f t="shared" si="141"/>
        <v>-764.25365209672293</v>
      </c>
      <c r="AA131" s="44">
        <f t="shared" si="142"/>
        <v>32862.907040159087</v>
      </c>
      <c r="AB131" s="35">
        <f t="shared" si="143"/>
        <v>43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828.91924955535364</v>
      </c>
      <c r="AD131" s="57">
        <v>0</v>
      </c>
      <c r="AE131" s="57">
        <v>1</v>
      </c>
      <c r="AF131" s="61">
        <f t="shared" si="131"/>
        <v>42</v>
      </c>
      <c r="AG131" s="40">
        <f t="shared" si="144"/>
        <v>0</v>
      </c>
      <c r="AH131" s="40">
        <f t="shared" si="145"/>
        <v>-828.91924955535364</v>
      </c>
      <c r="AI131" s="44">
        <f t="shared" si="146"/>
        <v>34814.608481324853</v>
      </c>
      <c r="AJ131" s="35">
        <f t="shared" si="132"/>
        <v>42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897.37432933294576</v>
      </c>
      <c r="AL131" s="57">
        <v>0</v>
      </c>
      <c r="AM131" s="57">
        <v>0</v>
      </c>
      <c r="AN131" s="61">
        <f t="shared" si="133"/>
        <v>42</v>
      </c>
      <c r="AO131" s="40">
        <f t="shared" si="147"/>
        <v>0</v>
      </c>
      <c r="AP131" s="40">
        <f t="shared" si="148"/>
        <v>0</v>
      </c>
      <c r="AQ131" s="44">
        <f t="shared" si="149"/>
        <v>37689.721831983719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58</v>
      </c>
      <c r="G132" s="35">
        <f>SUMIFS(WORKING!$AC$3:$AC$6802,WORKING!$A$3:$A$6802,Results!$D$3,WORKING!$B$3:$B$6802,Results!A132,WORKING!$C$3:$C$6802,Results!C132)/1000</f>
        <v>39126.257859999998</v>
      </c>
      <c r="H132" s="35">
        <f t="shared" si="134"/>
        <v>674.59065275862065</v>
      </c>
      <c r="I132" s="187">
        <v>7</v>
      </c>
      <c r="J132" s="212">
        <v>5962</v>
      </c>
      <c r="K132" s="217">
        <f t="shared" si="135"/>
        <v>851.71428571428567</v>
      </c>
      <c r="L132" s="34">
        <f t="shared" si="128"/>
        <v>7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892.42278310437166</v>
      </c>
      <c r="N132" s="57">
        <v>0</v>
      </c>
      <c r="O132" s="57">
        <v>0</v>
      </c>
      <c r="P132" s="61">
        <f t="shared" si="129"/>
        <v>7</v>
      </c>
      <c r="Q132" s="40">
        <f t="shared" si="136"/>
        <v>0</v>
      </c>
      <c r="R132" s="40">
        <f t="shared" si="137"/>
        <v>0</v>
      </c>
      <c r="S132" s="44">
        <f t="shared" si="138"/>
        <v>6246.9594817306015</v>
      </c>
      <c r="T132" s="35">
        <f t="shared" si="139"/>
        <v>7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959.51752266189328</v>
      </c>
      <c r="V132" s="57">
        <v>0</v>
      </c>
      <c r="W132" s="57">
        <v>0</v>
      </c>
      <c r="X132" s="61">
        <f t="shared" si="130"/>
        <v>7</v>
      </c>
      <c r="Y132" s="40">
        <f t="shared" si="140"/>
        <v>0</v>
      </c>
      <c r="Z132" s="40">
        <f t="shared" si="141"/>
        <v>0</v>
      </c>
      <c r="AA132" s="44">
        <f t="shared" si="142"/>
        <v>6716.6226586332532</v>
      </c>
      <c r="AB132" s="35">
        <f t="shared" si="143"/>
        <v>7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1030.683363814331</v>
      </c>
      <c r="AD132" s="57">
        <v>0</v>
      </c>
      <c r="AE132" s="57">
        <v>0</v>
      </c>
      <c r="AF132" s="61">
        <f t="shared" si="131"/>
        <v>7</v>
      </c>
      <c r="AG132" s="40">
        <f t="shared" si="144"/>
        <v>0</v>
      </c>
      <c r="AH132" s="40">
        <f t="shared" si="145"/>
        <v>0</v>
      </c>
      <c r="AI132" s="44">
        <f t="shared" si="146"/>
        <v>7214.7835467003169</v>
      </c>
      <c r="AJ132" s="35">
        <f t="shared" si="132"/>
        <v>7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1105.0365664276001</v>
      </c>
      <c r="AL132" s="57">
        <v>0</v>
      </c>
      <c r="AM132" s="57">
        <v>0</v>
      </c>
      <c r="AN132" s="61">
        <f t="shared" si="133"/>
        <v>7</v>
      </c>
      <c r="AO132" s="40">
        <f t="shared" si="147"/>
        <v>0</v>
      </c>
      <c r="AP132" s="40">
        <f t="shared" si="148"/>
        <v>0</v>
      </c>
      <c r="AQ132" s="44">
        <f t="shared" si="149"/>
        <v>7735.2559649932009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26</v>
      </c>
      <c r="G133" s="35">
        <f>SUMIFS(WORKING!$AC$3:$AC$6802,WORKING!$A$3:$A$6802,Results!$D$3,WORKING!$B$3:$B$6802,Results!A133,WORKING!$C$3:$C$6802,Results!C133)/1000</f>
        <v>22256.121950000004</v>
      </c>
      <c r="H133" s="35">
        <f t="shared" si="134"/>
        <v>856.00469038461551</v>
      </c>
      <c r="I133" s="187">
        <v>5</v>
      </c>
      <c r="J133" s="212">
        <v>5014</v>
      </c>
      <c r="K133" s="217">
        <f t="shared" si="135"/>
        <v>1002.8</v>
      </c>
      <c r="L133" s="34">
        <f t="shared" si="128"/>
        <v>5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1050.9655379457345</v>
      </c>
      <c r="N133" s="57">
        <v>0</v>
      </c>
      <c r="O133" s="57">
        <v>0</v>
      </c>
      <c r="P133" s="61">
        <f t="shared" si="129"/>
        <v>5</v>
      </c>
      <c r="Q133" s="40">
        <f t="shared" si="136"/>
        <v>0</v>
      </c>
      <c r="R133" s="40">
        <f t="shared" si="137"/>
        <v>0</v>
      </c>
      <c r="S133" s="44">
        <f t="shared" si="138"/>
        <v>5254.8276897286723</v>
      </c>
      <c r="T133" s="35">
        <f t="shared" si="139"/>
        <v>5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1130.233483387407</v>
      </c>
      <c r="V133" s="57">
        <v>0</v>
      </c>
      <c r="W133" s="57">
        <v>0</v>
      </c>
      <c r="X133" s="61">
        <f t="shared" si="130"/>
        <v>5</v>
      </c>
      <c r="Y133" s="40">
        <f t="shared" si="140"/>
        <v>0</v>
      </c>
      <c r="Z133" s="40">
        <f t="shared" si="141"/>
        <v>0</v>
      </c>
      <c r="AA133" s="44">
        <f t="shared" si="142"/>
        <v>5651.1674169370344</v>
      </c>
      <c r="AB133" s="35">
        <f t="shared" si="143"/>
        <v>5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1214.3334489991496</v>
      </c>
      <c r="AD133" s="57">
        <v>0</v>
      </c>
      <c r="AE133" s="57">
        <v>0</v>
      </c>
      <c r="AF133" s="61">
        <f t="shared" si="131"/>
        <v>5</v>
      </c>
      <c r="AG133" s="40">
        <f t="shared" si="144"/>
        <v>0</v>
      </c>
      <c r="AH133" s="40">
        <f t="shared" si="145"/>
        <v>0</v>
      </c>
      <c r="AI133" s="44">
        <f t="shared" si="146"/>
        <v>6071.6672449957478</v>
      </c>
      <c r="AJ133" s="35">
        <f t="shared" si="132"/>
        <v>5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1302.2272342589299</v>
      </c>
      <c r="AL133" s="57">
        <v>0</v>
      </c>
      <c r="AM133" s="57">
        <v>0</v>
      </c>
      <c r="AN133" s="61">
        <f t="shared" si="133"/>
        <v>5</v>
      </c>
      <c r="AO133" s="40">
        <f t="shared" si="147"/>
        <v>0</v>
      </c>
      <c r="AP133" s="40">
        <f t="shared" si="148"/>
        <v>0</v>
      </c>
      <c r="AQ133" s="44">
        <f t="shared" si="149"/>
        <v>6511.1361712946491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2</v>
      </c>
      <c r="G134" s="35">
        <f>SUMIFS(WORKING!$AC$3:$AC$6802,WORKING!$A$3:$A$6802,Results!$D$3,WORKING!$B$3:$B$6802,Results!A134,WORKING!$C$3:$C$6802,Results!C134)/1000</f>
        <v>3212.9062600000002</v>
      </c>
      <c r="H134" s="35">
        <f t="shared" si="134"/>
        <v>1606.4531300000001</v>
      </c>
      <c r="I134" s="187">
        <v>1</v>
      </c>
      <c r="J134" s="212">
        <v>1255</v>
      </c>
      <c r="K134" s="217">
        <f t="shared" si="135"/>
        <v>1255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1315.0950549118759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1315.0950549118759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1414.0869271497861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1414.0869271497861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1519.0958064290496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1519.0958064290496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1628.8205858476085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1628.8205858476085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7453</v>
      </c>
      <c r="G140" s="41">
        <f>SUM(G120:G139)</f>
        <v>1661568.318080001</v>
      </c>
      <c r="H140" s="41">
        <f>IFERROR(G140/F140,0)</f>
        <v>222.93953013283254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697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245728</v>
      </c>
      <c r="K140" s="41">
        <f>IFERROR(J140/I140,"")</f>
        <v>352.55093256814922</v>
      </c>
      <c r="L140" s="41">
        <f>SUM(L120:L139)</f>
        <v>697</v>
      </c>
      <c r="M140" s="41">
        <f>IFERROR(S140/P140,0)</f>
        <v>386.04216912072945</v>
      </c>
      <c r="N140" s="41">
        <f t="shared" ref="N140:T140" si="151">SUM(N120:N139)</f>
        <v>42</v>
      </c>
      <c r="O140" s="41">
        <f t="shared" si="151"/>
        <v>3</v>
      </c>
      <c r="P140" s="41">
        <f t="shared" si="151"/>
        <v>736</v>
      </c>
      <c r="Q140" s="41">
        <f t="shared" si="151"/>
        <v>18312.98302295043</v>
      </c>
      <c r="R140" s="41">
        <f t="shared" si="151"/>
        <v>-1395.0599806215926</v>
      </c>
      <c r="S140" s="45">
        <f t="shared" si="151"/>
        <v>284127.03647285688</v>
      </c>
      <c r="T140" s="41">
        <f t="shared" si="151"/>
        <v>736</v>
      </c>
      <c r="U140" s="41">
        <f>IFERROR(AA140/X140,0)</f>
        <v>418.33105404742372</v>
      </c>
      <c r="V140" s="41">
        <f t="shared" ref="V140:AB140" si="152">SUM(V120:V139)</f>
        <v>0</v>
      </c>
      <c r="W140" s="41">
        <f t="shared" si="152"/>
        <v>2</v>
      </c>
      <c r="X140" s="41">
        <f t="shared" si="152"/>
        <v>734</v>
      </c>
      <c r="Y140" s="41">
        <f t="shared" si="152"/>
        <v>0</v>
      </c>
      <c r="Z140" s="41">
        <f t="shared" si="152"/>
        <v>-1157.6755015892368</v>
      </c>
      <c r="AA140" s="45">
        <f t="shared" si="152"/>
        <v>307054.99367080902</v>
      </c>
      <c r="AB140" s="41">
        <f t="shared" si="152"/>
        <v>734</v>
      </c>
      <c r="AC140" s="41">
        <f>IFERROR(AI140/AF140,0)</f>
        <v>452.85729676017661</v>
      </c>
      <c r="AD140" s="41">
        <f t="shared" ref="AD140:AJ140" si="153">SUM(AD120:AD139)</f>
        <v>0</v>
      </c>
      <c r="AE140" s="41">
        <f t="shared" si="153"/>
        <v>1</v>
      </c>
      <c r="AF140" s="41">
        <f t="shared" si="153"/>
        <v>733</v>
      </c>
      <c r="AG140" s="41">
        <f t="shared" si="153"/>
        <v>0</v>
      </c>
      <c r="AH140" s="41">
        <f t="shared" si="153"/>
        <v>-828.91924955535364</v>
      </c>
      <c r="AI140" s="45">
        <f t="shared" si="153"/>
        <v>331944.39852520946</v>
      </c>
      <c r="AJ140" s="41">
        <f t="shared" si="153"/>
        <v>733</v>
      </c>
      <c r="AK140" s="41">
        <f>IFERROR(AQ140/AN140,0)</f>
        <v>489.15288090505038</v>
      </c>
      <c r="AL140" s="41">
        <f t="shared" ref="AL140:AQ140" si="154">SUM(AL120:AL139)</f>
        <v>0</v>
      </c>
      <c r="AM140" s="41">
        <f t="shared" si="154"/>
        <v>5</v>
      </c>
      <c r="AN140" s="41">
        <f t="shared" si="154"/>
        <v>728</v>
      </c>
      <c r="AO140" s="41">
        <f t="shared" si="154"/>
        <v>0</v>
      </c>
      <c r="AP140" s="41">
        <f t="shared" si="154"/>
        <v>-2971.5529464719066</v>
      </c>
      <c r="AQ140" s="45">
        <f t="shared" si="154"/>
        <v>356103.29729887669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252442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299092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302761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325770.83600000001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-31685.036472856882</v>
      </c>
      <c r="T142" s="39"/>
      <c r="U142" s="39"/>
      <c r="V142" s="53"/>
      <c r="W142" s="53"/>
      <c r="X142" s="110"/>
      <c r="Y142" s="39"/>
      <c r="Z142" s="39"/>
      <c r="AA142" s="54">
        <f>AA141-AA140</f>
        <v>-7962.9936708090245</v>
      </c>
      <c r="AB142" s="39"/>
      <c r="AC142" s="53"/>
      <c r="AD142" s="53"/>
      <c r="AE142" s="110"/>
      <c r="AF142" s="39"/>
      <c r="AG142" s="39"/>
      <c r="AH142" s="39"/>
      <c r="AI142" s="54">
        <f>AI141-AI140</f>
        <v>-29183.398525209457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-30332.461298876675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Labour Policy and Industrial Relations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20</v>
      </c>
      <c r="G152" s="35">
        <f>SUMIFS(WORKING!$AC$3:$AC$6802,WORKING!$A$3:$A$6802,Results!$D$3,WORKING!$B$3:$B$6802,Results!A152,WORKING!$C$3:$C$6802,Results!C152)/1000</f>
        <v>3557.2571400000002</v>
      </c>
      <c r="H152" s="35">
        <f t="shared" si="161"/>
        <v>177.86285700000002</v>
      </c>
      <c r="I152" s="187">
        <v>18</v>
      </c>
      <c r="J152" s="212">
        <v>3797</v>
      </c>
      <c r="K152" s="217">
        <f t="shared" si="162"/>
        <v>210.94444444444446</v>
      </c>
      <c r="L152" s="34">
        <f t="shared" si="155"/>
        <v>18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229.15152633392898</v>
      </c>
      <c r="N152" s="57">
        <v>0</v>
      </c>
      <c r="O152" s="57">
        <v>0</v>
      </c>
      <c r="P152" s="61">
        <f t="shared" si="156"/>
        <v>18</v>
      </c>
      <c r="Q152" s="40">
        <f t="shared" si="163"/>
        <v>0</v>
      </c>
      <c r="R152" s="40">
        <f t="shared" si="164"/>
        <v>0</v>
      </c>
      <c r="S152" s="44">
        <f t="shared" si="165"/>
        <v>4124.7274740107214</v>
      </c>
      <c r="T152" s="35">
        <f t="shared" si="166"/>
        <v>18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248.48876843764344</v>
      </c>
      <c r="V152" s="57">
        <v>0</v>
      </c>
      <c r="W152" s="57">
        <v>0</v>
      </c>
      <c r="X152" s="61">
        <f t="shared" si="157"/>
        <v>18</v>
      </c>
      <c r="Y152" s="40">
        <f t="shared" si="167"/>
        <v>0</v>
      </c>
      <c r="Z152" s="40">
        <f t="shared" si="168"/>
        <v>0</v>
      </c>
      <c r="AA152" s="44">
        <f t="shared" si="169"/>
        <v>4472.7978318775822</v>
      </c>
      <c r="AB152" s="35">
        <f t="shared" si="170"/>
        <v>18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269.20608378434656</v>
      </c>
      <c r="AD152" s="57">
        <v>0</v>
      </c>
      <c r="AE152" s="57">
        <v>0</v>
      </c>
      <c r="AF152" s="61">
        <f t="shared" si="158"/>
        <v>18</v>
      </c>
      <c r="AG152" s="40">
        <f t="shared" si="171"/>
        <v>0</v>
      </c>
      <c r="AH152" s="40">
        <f t="shared" si="172"/>
        <v>0</v>
      </c>
      <c r="AI152" s="44">
        <f t="shared" si="173"/>
        <v>4845.7095081182379</v>
      </c>
      <c r="AJ152" s="35">
        <f t="shared" si="159"/>
        <v>18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291.10524589977109</v>
      </c>
      <c r="AL152" s="57">
        <v>0</v>
      </c>
      <c r="AM152" s="57">
        <v>0</v>
      </c>
      <c r="AN152" s="61">
        <f t="shared" si="160"/>
        <v>18</v>
      </c>
      <c r="AO152" s="40">
        <f t="shared" si="174"/>
        <v>0</v>
      </c>
      <c r="AP152" s="40">
        <f t="shared" si="175"/>
        <v>0</v>
      </c>
      <c r="AQ152" s="44">
        <f t="shared" si="176"/>
        <v>5239.8944261958795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55</v>
      </c>
      <c r="G154" s="35">
        <f>SUMIFS(WORKING!$AC$3:$AC$6802,WORKING!$A$3:$A$6802,Results!$D$3,WORKING!$B$3:$B$6802,Results!A154,WORKING!$C$3:$C$6802,Results!C154)/1000</f>
        <v>13825.606829999999</v>
      </c>
      <c r="H154" s="35">
        <f t="shared" si="161"/>
        <v>251.37466963636362</v>
      </c>
      <c r="I154" s="187">
        <v>46</v>
      </c>
      <c r="J154" s="212">
        <v>13972</v>
      </c>
      <c r="K154" s="217">
        <f t="shared" si="162"/>
        <v>303.73913043478262</v>
      </c>
      <c r="L154" s="34">
        <f t="shared" si="155"/>
        <v>46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330.44070212245265</v>
      </c>
      <c r="N154" s="57">
        <v>1</v>
      </c>
      <c r="O154" s="57">
        <v>0</v>
      </c>
      <c r="P154" s="61">
        <f t="shared" si="156"/>
        <v>47</v>
      </c>
      <c r="Q154" s="40">
        <f t="shared" si="163"/>
        <v>330.44070212245265</v>
      </c>
      <c r="R154" s="40">
        <f t="shared" si="164"/>
        <v>0</v>
      </c>
      <c r="S154" s="44">
        <f t="shared" si="165"/>
        <v>15530.712999755275</v>
      </c>
      <c r="T154" s="35">
        <f t="shared" si="166"/>
        <v>47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358.47611639073028</v>
      </c>
      <c r="V154" s="57">
        <v>0</v>
      </c>
      <c r="W154" s="57">
        <v>0</v>
      </c>
      <c r="X154" s="61">
        <f t="shared" si="157"/>
        <v>47</v>
      </c>
      <c r="Y154" s="40">
        <f t="shared" si="167"/>
        <v>0</v>
      </c>
      <c r="Z154" s="40">
        <f t="shared" si="168"/>
        <v>0</v>
      </c>
      <c r="AA154" s="44">
        <f t="shared" si="169"/>
        <v>16848.377470364325</v>
      </c>
      <c r="AB154" s="35">
        <f t="shared" si="170"/>
        <v>47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388.52679420511356</v>
      </c>
      <c r="AD154" s="57">
        <v>0</v>
      </c>
      <c r="AE154" s="57">
        <v>0</v>
      </c>
      <c r="AF154" s="61">
        <f t="shared" si="158"/>
        <v>47</v>
      </c>
      <c r="AG154" s="40">
        <f t="shared" si="171"/>
        <v>0</v>
      </c>
      <c r="AH154" s="40">
        <f t="shared" si="172"/>
        <v>0</v>
      </c>
      <c r="AI154" s="44">
        <f t="shared" si="173"/>
        <v>18260.759327640339</v>
      </c>
      <c r="AJ154" s="35">
        <f t="shared" si="159"/>
        <v>47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420.30901157904242</v>
      </c>
      <c r="AL154" s="57">
        <v>0</v>
      </c>
      <c r="AM154" s="57">
        <v>1</v>
      </c>
      <c r="AN154" s="61">
        <f t="shared" si="160"/>
        <v>46</v>
      </c>
      <c r="AO154" s="40">
        <f t="shared" si="174"/>
        <v>0</v>
      </c>
      <c r="AP154" s="40">
        <f t="shared" si="175"/>
        <v>-420.30901157904242</v>
      </c>
      <c r="AQ154" s="44">
        <f t="shared" si="176"/>
        <v>19334.21453263595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32</v>
      </c>
      <c r="G155" s="35">
        <f>SUMIFS(WORKING!$AC$3:$AC$6802,WORKING!$A$3:$A$6802,Results!$D$3,WORKING!$B$3:$B$6802,Results!A155,WORKING!$C$3:$C$6802,Results!C155)/1000</f>
        <v>11070.053240000003</v>
      </c>
      <c r="H155" s="35">
        <f t="shared" si="161"/>
        <v>345.93916375000009</v>
      </c>
      <c r="I155" s="187">
        <v>30</v>
      </c>
      <c r="J155" s="212">
        <v>11638</v>
      </c>
      <c r="K155" s="217">
        <f t="shared" si="162"/>
        <v>387.93333333333334</v>
      </c>
      <c r="L155" s="34">
        <f t="shared" si="155"/>
        <v>30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422.4772508100009</v>
      </c>
      <c r="N155" s="57">
        <v>1</v>
      </c>
      <c r="O155" s="57">
        <v>1</v>
      </c>
      <c r="P155" s="61">
        <f t="shared" si="156"/>
        <v>30</v>
      </c>
      <c r="Q155" s="40">
        <f t="shared" si="163"/>
        <v>422.4772508100009</v>
      </c>
      <c r="R155" s="40">
        <f t="shared" si="164"/>
        <v>-422.4772508100009</v>
      </c>
      <c r="S155" s="44">
        <f t="shared" si="165"/>
        <v>12674.317524300026</v>
      </c>
      <c r="T155" s="35">
        <f t="shared" si="166"/>
        <v>30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458.45800102093773</v>
      </c>
      <c r="V155" s="57">
        <v>0</v>
      </c>
      <c r="W155" s="57">
        <v>0</v>
      </c>
      <c r="X155" s="61">
        <f t="shared" si="157"/>
        <v>30</v>
      </c>
      <c r="Y155" s="40">
        <f t="shared" si="167"/>
        <v>0</v>
      </c>
      <c r="Z155" s="40">
        <f t="shared" si="168"/>
        <v>0</v>
      </c>
      <c r="AA155" s="44">
        <f t="shared" si="169"/>
        <v>13753.740030628132</v>
      </c>
      <c r="AB155" s="35">
        <f t="shared" si="170"/>
        <v>30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497.0382652930212</v>
      </c>
      <c r="AD155" s="57">
        <v>0</v>
      </c>
      <c r="AE155" s="57">
        <v>0</v>
      </c>
      <c r="AF155" s="61">
        <f t="shared" si="158"/>
        <v>30</v>
      </c>
      <c r="AG155" s="40">
        <f t="shared" si="171"/>
        <v>0</v>
      </c>
      <c r="AH155" s="40">
        <f t="shared" si="172"/>
        <v>0</v>
      </c>
      <c r="AI155" s="44">
        <f t="shared" si="173"/>
        <v>14911.147958790636</v>
      </c>
      <c r="AJ155" s="35">
        <f t="shared" si="159"/>
        <v>30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537.8572584794897</v>
      </c>
      <c r="AL155" s="57">
        <v>0</v>
      </c>
      <c r="AM155" s="57">
        <v>0</v>
      </c>
      <c r="AN155" s="61">
        <f t="shared" si="160"/>
        <v>30</v>
      </c>
      <c r="AO155" s="40">
        <f t="shared" si="174"/>
        <v>0</v>
      </c>
      <c r="AP155" s="40">
        <f t="shared" si="175"/>
        <v>0</v>
      </c>
      <c r="AQ155" s="44">
        <f t="shared" si="176"/>
        <v>16135.717754384692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</v>
      </c>
      <c r="G156" s="35">
        <f>SUMIFS(WORKING!$AC$3:$AC$6802,WORKING!$A$3:$A$6802,Results!$D$3,WORKING!$B$3:$B$6802,Results!A156,WORKING!$C$3:$C$6802,Results!C156)/1000</f>
        <v>409.90381000000008</v>
      </c>
      <c r="H156" s="35">
        <f t="shared" si="161"/>
        <v>409.90381000000008</v>
      </c>
      <c r="I156" s="187">
        <v>3</v>
      </c>
      <c r="J156" s="212">
        <v>2837</v>
      </c>
      <c r="K156" s="217">
        <f t="shared" si="162"/>
        <v>945.66666666666663</v>
      </c>
      <c r="L156" s="34">
        <f t="shared" si="155"/>
        <v>3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1029.8165986976837</v>
      </c>
      <c r="N156" s="57">
        <v>0</v>
      </c>
      <c r="O156" s="57">
        <v>0</v>
      </c>
      <c r="P156" s="61">
        <f t="shared" si="156"/>
        <v>3</v>
      </c>
      <c r="Q156" s="40">
        <f t="shared" si="163"/>
        <v>0</v>
      </c>
      <c r="R156" s="40">
        <f t="shared" si="164"/>
        <v>0</v>
      </c>
      <c r="S156" s="44">
        <f t="shared" si="165"/>
        <v>3089.4497960930512</v>
      </c>
      <c r="T156" s="35">
        <f t="shared" si="166"/>
        <v>3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1117.5041973482732</v>
      </c>
      <c r="V156" s="57">
        <v>0</v>
      </c>
      <c r="W156" s="57">
        <v>0</v>
      </c>
      <c r="X156" s="61">
        <f t="shared" si="157"/>
        <v>3</v>
      </c>
      <c r="Y156" s="40">
        <f t="shared" si="167"/>
        <v>0</v>
      </c>
      <c r="Z156" s="40">
        <f t="shared" si="168"/>
        <v>0</v>
      </c>
      <c r="AA156" s="44">
        <f t="shared" si="169"/>
        <v>3352.5125920448199</v>
      </c>
      <c r="AB156" s="35">
        <f t="shared" si="170"/>
        <v>3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1211.5252903828321</v>
      </c>
      <c r="AD156" s="57">
        <v>0</v>
      </c>
      <c r="AE156" s="57">
        <v>0</v>
      </c>
      <c r="AF156" s="61">
        <f t="shared" si="158"/>
        <v>3</v>
      </c>
      <c r="AG156" s="40">
        <f t="shared" si="171"/>
        <v>0</v>
      </c>
      <c r="AH156" s="40">
        <f t="shared" si="172"/>
        <v>0</v>
      </c>
      <c r="AI156" s="44">
        <f t="shared" si="173"/>
        <v>3634.5758711484959</v>
      </c>
      <c r="AJ156" s="35">
        <f t="shared" si="159"/>
        <v>3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1311.0001984061551</v>
      </c>
      <c r="AL156" s="57">
        <v>0</v>
      </c>
      <c r="AM156" s="57">
        <v>0</v>
      </c>
      <c r="AN156" s="61">
        <f t="shared" si="160"/>
        <v>3</v>
      </c>
      <c r="AO156" s="40">
        <f t="shared" si="174"/>
        <v>0</v>
      </c>
      <c r="AP156" s="40">
        <f t="shared" si="175"/>
        <v>0</v>
      </c>
      <c r="AQ156" s="44">
        <f t="shared" si="176"/>
        <v>3933.0005952184652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39</v>
      </c>
      <c r="G157" s="35">
        <f>SUMIFS(WORKING!$AC$3:$AC$6802,WORKING!$A$3:$A$6802,Results!$D$3,WORKING!$B$3:$B$6802,Results!A157,WORKING!$C$3:$C$6802,Results!C157)/1000</f>
        <v>17539.050230000001</v>
      </c>
      <c r="H157" s="35">
        <f t="shared" si="161"/>
        <v>449.71923666666669</v>
      </c>
      <c r="I157" s="187">
        <v>32</v>
      </c>
      <c r="J157" s="212">
        <v>15656</v>
      </c>
      <c r="K157" s="217">
        <f t="shared" si="162"/>
        <v>489.25</v>
      </c>
      <c r="L157" s="34">
        <f t="shared" si="155"/>
        <v>32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533.22266124141379</v>
      </c>
      <c r="N157" s="57">
        <v>1</v>
      </c>
      <c r="O157" s="57">
        <v>1</v>
      </c>
      <c r="P157" s="61">
        <f t="shared" si="156"/>
        <v>32</v>
      </c>
      <c r="Q157" s="40">
        <f t="shared" si="163"/>
        <v>533.22266124141379</v>
      </c>
      <c r="R157" s="40">
        <f t="shared" si="164"/>
        <v>-533.22266124141379</v>
      </c>
      <c r="S157" s="44">
        <f t="shared" si="165"/>
        <v>17063.125159725241</v>
      </c>
      <c r="T157" s="35">
        <f t="shared" si="166"/>
        <v>32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578.76171366352571</v>
      </c>
      <c r="V157" s="57">
        <v>0</v>
      </c>
      <c r="W157" s="57">
        <v>0</v>
      </c>
      <c r="X157" s="61">
        <f t="shared" si="157"/>
        <v>32</v>
      </c>
      <c r="Y157" s="40">
        <f t="shared" si="167"/>
        <v>0</v>
      </c>
      <c r="Z157" s="40">
        <f t="shared" si="168"/>
        <v>0</v>
      </c>
      <c r="AA157" s="44">
        <f t="shared" si="169"/>
        <v>18520.374837232823</v>
      </c>
      <c r="AB157" s="35">
        <f t="shared" si="170"/>
        <v>32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627.60299768191408</v>
      </c>
      <c r="AD157" s="57">
        <v>0</v>
      </c>
      <c r="AE157" s="57">
        <v>0</v>
      </c>
      <c r="AF157" s="61">
        <f t="shared" si="158"/>
        <v>32</v>
      </c>
      <c r="AG157" s="40">
        <f t="shared" si="171"/>
        <v>0</v>
      </c>
      <c r="AH157" s="40">
        <f t="shared" si="172"/>
        <v>0</v>
      </c>
      <c r="AI157" s="44">
        <f t="shared" si="173"/>
        <v>20083.29592582125</v>
      </c>
      <c r="AJ157" s="35">
        <f t="shared" si="159"/>
        <v>32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679.29297538202525</v>
      </c>
      <c r="AL157" s="57">
        <v>0</v>
      </c>
      <c r="AM157" s="57">
        <v>0</v>
      </c>
      <c r="AN157" s="61">
        <f t="shared" si="160"/>
        <v>32</v>
      </c>
      <c r="AO157" s="40">
        <f t="shared" si="174"/>
        <v>0</v>
      </c>
      <c r="AP157" s="40">
        <f t="shared" si="175"/>
        <v>0</v>
      </c>
      <c r="AQ157" s="44">
        <f t="shared" si="176"/>
        <v>21737.375212224808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1</v>
      </c>
      <c r="G158" s="35">
        <f>SUMIFS(WORKING!$AC$3:$AC$6802,WORKING!$A$3:$A$6802,Results!$D$3,WORKING!$B$3:$B$6802,Results!A158,WORKING!$C$3:$C$6802,Results!C158)/1000</f>
        <v>458.09790000000004</v>
      </c>
      <c r="H158" s="35">
        <f t="shared" si="161"/>
        <v>458.09790000000004</v>
      </c>
      <c r="I158" s="187">
        <v>1</v>
      </c>
      <c r="J158" s="212">
        <v>3370</v>
      </c>
      <c r="K158" s="217">
        <f t="shared" si="162"/>
        <v>3370</v>
      </c>
      <c r="L158" s="34">
        <f t="shared" si="155"/>
        <v>1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3678.4589091760213</v>
      </c>
      <c r="N158" s="57">
        <v>0</v>
      </c>
      <c r="O158" s="57">
        <v>0</v>
      </c>
      <c r="P158" s="61">
        <f t="shared" si="156"/>
        <v>1</v>
      </c>
      <c r="Q158" s="40">
        <f t="shared" si="163"/>
        <v>0</v>
      </c>
      <c r="R158" s="40">
        <f t="shared" si="164"/>
        <v>0</v>
      </c>
      <c r="S158" s="44">
        <f t="shared" si="165"/>
        <v>3678.4589091760213</v>
      </c>
      <c r="T158" s="35">
        <f t="shared" si="166"/>
        <v>1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3992.7619998100436</v>
      </c>
      <c r="V158" s="57">
        <v>0</v>
      </c>
      <c r="W158" s="57">
        <v>0</v>
      </c>
      <c r="X158" s="61">
        <f t="shared" si="157"/>
        <v>1</v>
      </c>
      <c r="Y158" s="40">
        <f t="shared" si="167"/>
        <v>0</v>
      </c>
      <c r="Z158" s="40">
        <f t="shared" si="168"/>
        <v>0</v>
      </c>
      <c r="AA158" s="44">
        <f t="shared" si="169"/>
        <v>3992.7619998100436</v>
      </c>
      <c r="AB158" s="35">
        <f t="shared" si="170"/>
        <v>1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4329.8700831742326</v>
      </c>
      <c r="AD158" s="57">
        <v>0</v>
      </c>
      <c r="AE158" s="57">
        <v>0</v>
      </c>
      <c r="AF158" s="61">
        <f t="shared" si="158"/>
        <v>1</v>
      </c>
      <c r="AG158" s="40">
        <f t="shared" si="171"/>
        <v>0</v>
      </c>
      <c r="AH158" s="40">
        <f t="shared" si="172"/>
        <v>0</v>
      </c>
      <c r="AI158" s="44">
        <f t="shared" si="173"/>
        <v>4329.8700831742326</v>
      </c>
      <c r="AJ158" s="35">
        <f t="shared" si="159"/>
        <v>1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4686.6553997909014</v>
      </c>
      <c r="AL158" s="57">
        <v>0</v>
      </c>
      <c r="AM158" s="57">
        <v>0</v>
      </c>
      <c r="AN158" s="61">
        <f t="shared" si="160"/>
        <v>1</v>
      </c>
      <c r="AO158" s="40">
        <f t="shared" si="174"/>
        <v>0</v>
      </c>
      <c r="AP158" s="40">
        <f t="shared" si="175"/>
        <v>0</v>
      </c>
      <c r="AQ158" s="44">
        <f t="shared" si="176"/>
        <v>4686.6553997909014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27</v>
      </c>
      <c r="G159" s="35">
        <f>SUMIFS(WORKING!$AC$3:$AC$6802,WORKING!$A$3:$A$6802,Results!$D$3,WORKING!$B$3:$B$6802,Results!A159,WORKING!$C$3:$C$6802,Results!C159)/1000</f>
        <v>18392.104649999997</v>
      </c>
      <c r="H159" s="35">
        <f t="shared" si="161"/>
        <v>681.18906111111107</v>
      </c>
      <c r="I159" s="187">
        <v>25</v>
      </c>
      <c r="J159" s="212">
        <v>16112</v>
      </c>
      <c r="K159" s="217">
        <f t="shared" si="162"/>
        <v>644.48</v>
      </c>
      <c r="L159" s="34">
        <f t="shared" si="155"/>
        <v>25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703.63944890811308</v>
      </c>
      <c r="N159" s="57">
        <v>0</v>
      </c>
      <c r="O159" s="57">
        <v>0</v>
      </c>
      <c r="P159" s="61">
        <f t="shared" si="156"/>
        <v>25</v>
      </c>
      <c r="Q159" s="40">
        <f t="shared" si="163"/>
        <v>0</v>
      </c>
      <c r="R159" s="40">
        <f t="shared" si="164"/>
        <v>0</v>
      </c>
      <c r="S159" s="44">
        <f t="shared" si="165"/>
        <v>17590.986222702828</v>
      </c>
      <c r="T159" s="35">
        <f t="shared" si="166"/>
        <v>25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763.94557804345675</v>
      </c>
      <c r="V159" s="57">
        <v>1</v>
      </c>
      <c r="W159" s="57">
        <v>2</v>
      </c>
      <c r="X159" s="61">
        <f t="shared" si="157"/>
        <v>24</v>
      </c>
      <c r="Y159" s="40">
        <f t="shared" si="167"/>
        <v>763.94557804345675</v>
      </c>
      <c r="Z159" s="40">
        <f t="shared" si="168"/>
        <v>-1527.8911560869135</v>
      </c>
      <c r="AA159" s="44">
        <f t="shared" si="169"/>
        <v>18334.693873042961</v>
      </c>
      <c r="AB159" s="35">
        <f t="shared" si="170"/>
        <v>24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828.64514567849278</v>
      </c>
      <c r="AD159" s="57">
        <v>0</v>
      </c>
      <c r="AE159" s="57">
        <v>3</v>
      </c>
      <c r="AF159" s="61">
        <f t="shared" si="158"/>
        <v>21</v>
      </c>
      <c r="AG159" s="40">
        <f t="shared" si="171"/>
        <v>0</v>
      </c>
      <c r="AH159" s="40">
        <f t="shared" si="172"/>
        <v>-2485.9354370354786</v>
      </c>
      <c r="AI159" s="44">
        <f t="shared" si="173"/>
        <v>17401.548059248347</v>
      </c>
      <c r="AJ159" s="35">
        <f t="shared" si="159"/>
        <v>21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897.14258894732222</v>
      </c>
      <c r="AL159" s="57">
        <v>0</v>
      </c>
      <c r="AM159" s="57">
        <v>1</v>
      </c>
      <c r="AN159" s="61">
        <f t="shared" si="160"/>
        <v>20</v>
      </c>
      <c r="AO159" s="40">
        <f t="shared" si="174"/>
        <v>0</v>
      </c>
      <c r="AP159" s="40">
        <f t="shared" si="175"/>
        <v>-897.14258894732222</v>
      </c>
      <c r="AQ159" s="44">
        <f t="shared" si="176"/>
        <v>17942.851778946446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6</v>
      </c>
      <c r="G160" s="35">
        <f>SUMIFS(WORKING!$AC$3:$AC$6802,WORKING!$A$3:$A$6802,Results!$D$3,WORKING!$B$3:$B$6802,Results!A160,WORKING!$C$3:$C$6802,Results!C160)/1000</f>
        <v>5538.7404900000001</v>
      </c>
      <c r="H160" s="35">
        <f t="shared" si="161"/>
        <v>923.12341500000002</v>
      </c>
      <c r="I160" s="187">
        <v>6</v>
      </c>
      <c r="J160" s="212">
        <v>5737</v>
      </c>
      <c r="K160" s="217">
        <f t="shared" si="162"/>
        <v>956.16666666666663</v>
      </c>
      <c r="L160" s="34">
        <f t="shared" si="155"/>
        <v>6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1002.1313823491075</v>
      </c>
      <c r="N160" s="57">
        <v>2</v>
      </c>
      <c r="O160" s="57">
        <v>1</v>
      </c>
      <c r="P160" s="61">
        <f t="shared" si="156"/>
        <v>7</v>
      </c>
      <c r="Q160" s="40">
        <f t="shared" si="163"/>
        <v>2004.2627646982151</v>
      </c>
      <c r="R160" s="40">
        <f t="shared" si="164"/>
        <v>-1002.1313823491075</v>
      </c>
      <c r="S160" s="44">
        <f t="shared" si="165"/>
        <v>7014.9196764437529</v>
      </c>
      <c r="T160" s="35">
        <f t="shared" si="166"/>
        <v>7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1077.758034981503</v>
      </c>
      <c r="V160" s="57">
        <v>1</v>
      </c>
      <c r="W160" s="57">
        <v>0</v>
      </c>
      <c r="X160" s="61">
        <f t="shared" si="157"/>
        <v>8</v>
      </c>
      <c r="Y160" s="40">
        <f t="shared" si="167"/>
        <v>1077.758034981503</v>
      </c>
      <c r="Z160" s="40">
        <f t="shared" si="168"/>
        <v>0</v>
      </c>
      <c r="AA160" s="44">
        <f t="shared" si="169"/>
        <v>8622.0642798520239</v>
      </c>
      <c r="AB160" s="35">
        <f t="shared" si="170"/>
        <v>8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1157.998430983205</v>
      </c>
      <c r="AD160" s="57">
        <v>0</v>
      </c>
      <c r="AE160" s="57">
        <v>0</v>
      </c>
      <c r="AF160" s="61">
        <f t="shared" si="158"/>
        <v>8</v>
      </c>
      <c r="AG160" s="40">
        <f t="shared" si="171"/>
        <v>0</v>
      </c>
      <c r="AH160" s="40">
        <f t="shared" si="172"/>
        <v>0</v>
      </c>
      <c r="AI160" s="44">
        <f t="shared" si="173"/>
        <v>9263.9874478656402</v>
      </c>
      <c r="AJ160" s="35">
        <f t="shared" si="159"/>
        <v>8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1241.8630338768926</v>
      </c>
      <c r="AL160" s="57">
        <v>0</v>
      </c>
      <c r="AM160" s="57">
        <v>0</v>
      </c>
      <c r="AN160" s="61">
        <f t="shared" si="160"/>
        <v>8</v>
      </c>
      <c r="AO160" s="40">
        <f t="shared" si="174"/>
        <v>0</v>
      </c>
      <c r="AP160" s="40">
        <f t="shared" si="175"/>
        <v>0</v>
      </c>
      <c r="AQ160" s="44">
        <f t="shared" si="176"/>
        <v>9934.9042710151407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3</v>
      </c>
      <c r="G161" s="35">
        <f>SUMIFS(WORKING!$AC$3:$AC$6802,WORKING!$A$3:$A$6802,Results!$D$3,WORKING!$B$3:$B$6802,Results!A161,WORKING!$C$3:$C$6802,Results!C161)/1000</f>
        <v>3600.3169600000001</v>
      </c>
      <c r="H161" s="35">
        <f t="shared" si="161"/>
        <v>1200.1056533333333</v>
      </c>
      <c r="I161" s="187">
        <v>3</v>
      </c>
      <c r="J161" s="212">
        <v>3649</v>
      </c>
      <c r="K161" s="217">
        <f t="shared" si="162"/>
        <v>1216.3333333333333</v>
      </c>
      <c r="L161" s="34">
        <f t="shared" si="155"/>
        <v>3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1274.9867980866854</v>
      </c>
      <c r="N161" s="57">
        <v>0</v>
      </c>
      <c r="O161" s="57">
        <v>0</v>
      </c>
      <c r="P161" s="61">
        <f t="shared" si="156"/>
        <v>3</v>
      </c>
      <c r="Q161" s="40">
        <f t="shared" si="163"/>
        <v>0</v>
      </c>
      <c r="R161" s="40">
        <f t="shared" si="164"/>
        <v>0</v>
      </c>
      <c r="S161" s="44">
        <f t="shared" si="165"/>
        <v>3824.9603942600561</v>
      </c>
      <c r="T161" s="35">
        <f t="shared" si="166"/>
        <v>3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1371.4005232743357</v>
      </c>
      <c r="V161" s="57">
        <v>0</v>
      </c>
      <c r="W161" s="57">
        <v>0</v>
      </c>
      <c r="X161" s="61">
        <f t="shared" si="157"/>
        <v>3</v>
      </c>
      <c r="Y161" s="40">
        <f t="shared" si="167"/>
        <v>0</v>
      </c>
      <c r="Z161" s="40">
        <f t="shared" si="168"/>
        <v>0</v>
      </c>
      <c r="AA161" s="44">
        <f t="shared" si="169"/>
        <v>4114.201569823007</v>
      </c>
      <c r="AB161" s="35">
        <f t="shared" si="170"/>
        <v>3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1473.7133871569979</v>
      </c>
      <c r="AD161" s="57">
        <v>0</v>
      </c>
      <c r="AE161" s="57">
        <v>0</v>
      </c>
      <c r="AF161" s="61">
        <f t="shared" si="158"/>
        <v>3</v>
      </c>
      <c r="AG161" s="40">
        <f t="shared" si="171"/>
        <v>0</v>
      </c>
      <c r="AH161" s="40">
        <f t="shared" si="172"/>
        <v>0</v>
      </c>
      <c r="AI161" s="44">
        <f t="shared" si="173"/>
        <v>4421.1401614709939</v>
      </c>
      <c r="AJ161" s="35">
        <f t="shared" si="159"/>
        <v>3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1580.6684091076249</v>
      </c>
      <c r="AL161" s="57">
        <v>0</v>
      </c>
      <c r="AM161" s="57">
        <v>0</v>
      </c>
      <c r="AN161" s="61">
        <f t="shared" si="160"/>
        <v>3</v>
      </c>
      <c r="AO161" s="40">
        <f t="shared" si="174"/>
        <v>0</v>
      </c>
      <c r="AP161" s="40">
        <f t="shared" si="175"/>
        <v>0</v>
      </c>
      <c r="AQ161" s="44">
        <f t="shared" si="176"/>
        <v>4742.0052273228748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919.65400999999997</v>
      </c>
      <c r="H162" s="35">
        <f t="shared" si="161"/>
        <v>919.65400999999997</v>
      </c>
      <c r="I162" s="187">
        <v>1</v>
      </c>
      <c r="J162" s="212">
        <v>1331</v>
      </c>
      <c r="K162" s="217">
        <f t="shared" si="162"/>
        <v>1331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1395.4220094430596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1395.4220094430596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1501.200241398531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1501.200241398531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1613.4732788796464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1613.4732788796464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1730.8680297891171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1730.8680297891171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185</v>
      </c>
      <c r="G168" s="41">
        <f>SUM(G148:G167)</f>
        <v>75310.78525999999</v>
      </c>
      <c r="H168" s="41">
        <f>IFERROR(G168/F168,0)</f>
        <v>407.08532572972968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165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78099</v>
      </c>
      <c r="K168" s="41">
        <f>IFERROR(J168/I168,"")</f>
        <v>473.32727272727271</v>
      </c>
      <c r="L168" s="41">
        <f>SUM(L148:L167)</f>
        <v>165</v>
      </c>
      <c r="M168" s="41">
        <f>IFERROR(S168/P168,0)</f>
        <v>514.89269560425168</v>
      </c>
      <c r="N168" s="41">
        <f t="shared" ref="N168:T168" si="177">SUM(N148:N167)</f>
        <v>5</v>
      </c>
      <c r="O168" s="41">
        <f t="shared" si="177"/>
        <v>3</v>
      </c>
      <c r="P168" s="41">
        <f t="shared" si="177"/>
        <v>167</v>
      </c>
      <c r="Q168" s="41">
        <f t="shared" si="177"/>
        <v>3290.4033788720826</v>
      </c>
      <c r="R168" s="41">
        <f t="shared" si="177"/>
        <v>-1957.8312944005222</v>
      </c>
      <c r="S168" s="45">
        <f t="shared" si="177"/>
        <v>85987.080165910025</v>
      </c>
      <c r="T168" s="41">
        <f t="shared" si="177"/>
        <v>167</v>
      </c>
      <c r="U168" s="41">
        <f>IFERROR(AA168/X168,0)</f>
        <v>559.95643548547457</v>
      </c>
      <c r="V168" s="41">
        <f t="shared" ref="V168:AB168" si="178">SUM(V148:V167)</f>
        <v>2</v>
      </c>
      <c r="W168" s="41">
        <f t="shared" si="178"/>
        <v>2</v>
      </c>
      <c r="X168" s="41">
        <f t="shared" si="178"/>
        <v>167</v>
      </c>
      <c r="Y168" s="41">
        <f t="shared" si="178"/>
        <v>1841.7036130249599</v>
      </c>
      <c r="Z168" s="41">
        <f t="shared" si="178"/>
        <v>-1527.8911560869135</v>
      </c>
      <c r="AA168" s="45">
        <f t="shared" si="178"/>
        <v>93512.724726074244</v>
      </c>
      <c r="AB168" s="41">
        <f t="shared" si="178"/>
        <v>167</v>
      </c>
      <c r="AC168" s="41">
        <f>IFERROR(AI168/AF168,0)</f>
        <v>602.22870501315754</v>
      </c>
      <c r="AD168" s="41">
        <f t="shared" ref="AD168:AJ168" si="179">SUM(AD148:AD167)</f>
        <v>0</v>
      </c>
      <c r="AE168" s="41">
        <f t="shared" si="179"/>
        <v>3</v>
      </c>
      <c r="AF168" s="41">
        <f t="shared" si="179"/>
        <v>164</v>
      </c>
      <c r="AG168" s="41">
        <f t="shared" si="179"/>
        <v>0</v>
      </c>
      <c r="AH168" s="41">
        <f t="shared" si="179"/>
        <v>-2485.9354370354786</v>
      </c>
      <c r="AI168" s="45">
        <f t="shared" si="179"/>
        <v>98765.507622157835</v>
      </c>
      <c r="AJ168" s="41">
        <f t="shared" si="179"/>
        <v>164</v>
      </c>
      <c r="AK168" s="41">
        <f>IFERROR(AQ168/AN168,0)</f>
        <v>650.7252297995326</v>
      </c>
      <c r="AL168" s="41">
        <f t="shared" ref="AL168:AQ168" si="180">SUM(AL148:AL167)</f>
        <v>0</v>
      </c>
      <c r="AM168" s="41">
        <f t="shared" si="180"/>
        <v>2</v>
      </c>
      <c r="AN168" s="41">
        <f t="shared" si="180"/>
        <v>162</v>
      </c>
      <c r="AO168" s="41">
        <f t="shared" si="180"/>
        <v>0</v>
      </c>
      <c r="AP168" s="41">
        <f t="shared" si="180"/>
        <v>-1317.4516005263647</v>
      </c>
      <c r="AQ168" s="45">
        <f t="shared" si="180"/>
        <v>105417.48722752428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84346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109217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127891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137610.71600000001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-1641.0801659100252</v>
      </c>
      <c r="T170" s="39"/>
      <c r="U170" s="39"/>
      <c r="V170" s="53"/>
      <c r="W170" s="53"/>
      <c r="X170" s="110"/>
      <c r="Y170" s="39"/>
      <c r="Z170" s="39"/>
      <c r="AA170" s="54">
        <f>AA169-AA168</f>
        <v>15704.275273925756</v>
      </c>
      <c r="AB170" s="39"/>
      <c r="AC170" s="53"/>
      <c r="AD170" s="53"/>
      <c r="AE170" s="110"/>
      <c r="AF170" s="39"/>
      <c r="AG170" s="39"/>
      <c r="AH170" s="39"/>
      <c r="AI170" s="54">
        <f>AI169-AI168</f>
        <v>29125.492377842165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32193.228772475733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EXLQkgjv+t+cYk5flRlVcgh/ET7UalbJka0P1wIZX1szO+wfvfXrgdPhYC7yp2SgyZah/HnuHKeSE7lxoCoMRQ==" saltValue="2GE+D79lm8mJmO/lpyJfKg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Labour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28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42671.508243865741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NAT_HRBP__42671.5082438657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HRBP-Vote28.xlsx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www.w3.org/XML/1998/namespace"/>
    <ds:schemaRef ds:uri="http://purl.org/dc/elements/1.1/"/>
    <ds:schemaRef ds:uri="df7ca258-5e24-45de-bd31-dbc76bc6765a"/>
    <ds:schemaRef ds:uri="http://purl.org/dc/dcmitype/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2016-10-28T10:12:38Z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